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2240" windowHeight="9240" activeTab="0"/>
  </bookViews>
  <sheets>
    <sheet name="Summary" sheetId="1" r:id="rId1"/>
    <sheet name="BRA Resource Clearing Results" sheetId="2" r:id="rId2"/>
    <sheet name="BRA Load Pricing Results" sheetId="3" r:id="rId3"/>
    <sheet name="BRA CTRs" sheetId="4" r:id="rId4"/>
    <sheet name="BRA ICTRs" sheetId="5" r:id="rId5"/>
  </sheets>
  <definedNames>
    <definedName name="_xlnm.Print_Area" localSheetId="3">'BRA CTRs'!$A$1:$V$38</definedName>
    <definedName name="_xlnm.Print_Area" localSheetId="4">'BRA ICTRs'!$A$1:$R$100</definedName>
    <definedName name="_xlnm.Print_Area" localSheetId="2">'BRA Load Pricing Results'!$A$1:$L$59</definedName>
    <definedName name="_xlnm.Print_Area" localSheetId="1">'BRA Resource Clearing Results'!$A$1:$J$70</definedName>
  </definedNames>
  <calcPr fullCalcOnLoad="1"/>
</workbook>
</file>

<file path=xl/sharedStrings.xml><?xml version="1.0" encoding="utf-8"?>
<sst xmlns="http://schemas.openxmlformats.org/spreadsheetml/2006/main" count="624" uniqueCount="221">
  <si>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</si>
  <si>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</si>
  <si>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</si>
  <si>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</si>
  <si>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</si>
  <si>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</si>
  <si>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</si>
  <si>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</si>
  <si>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</si>
  <si>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</si>
  <si>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</si>
  <si>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</si>
  <si>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</si>
  <si>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</si>
  <si>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</si>
  <si>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</si>
  <si>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</si>
  <si>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</si>
  <si>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</si>
  <si>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</si>
  <si>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</si>
  <si>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</si>
  <si>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</si>
  <si>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</si>
  <si>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</si>
  <si>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</si>
  <si>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</si>
  <si>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</si>
  <si>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</si>
  <si>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* Locational Price Adder is with respect to the immediate higher level LDA.</t>
  </si>
  <si>
    <t>MAAC</t>
  </si>
  <si>
    <t>Short-Term Resource Procurement Target [MW]</t>
  </si>
  <si>
    <t>AEP</t>
  </si>
  <si>
    <t>DOM</t>
  </si>
  <si>
    <t>Preliminary Zonal Capacity Price [$/MW-day]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</si>
  <si>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</si>
  <si>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</si>
  <si>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</si>
  <si>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</si>
  <si>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</si>
  <si>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</si>
  <si>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</si>
  <si>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</si>
  <si>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</si>
  <si>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</si>
  <si>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</si>
  <si>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</si>
  <si>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</si>
  <si>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</si>
  <si>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</si>
  <si>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</si>
  <si>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</si>
  <si>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</si>
  <si>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</si>
  <si>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</si>
  <si>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</si>
  <si>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</si>
  <si>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</si>
  <si>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</si>
  <si>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</si>
  <si>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</si>
  <si>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</si>
  <si>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</si>
  <si>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</si>
  <si>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</si>
  <si>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DEOK</t>
  </si>
  <si>
    <t>Total Resource Credits [$/day]</t>
  </si>
  <si>
    <t>Resource Credits</t>
  </si>
  <si>
    <t>LDA Capacity Price Components</t>
  </si>
  <si>
    <t>Resource Clearing Prices</t>
  </si>
  <si>
    <t>Cleared &amp; Make-Whole MWs</t>
  </si>
  <si>
    <t>Sub-Zone/Zone</t>
  </si>
  <si>
    <t>LDA Base UCAP Obligation [MW]</t>
  </si>
  <si>
    <t>System Marginal Price [$/MW-day]</t>
  </si>
  <si>
    <t>Make-whole Credits for Annual Resources [$/day]</t>
  </si>
  <si>
    <t>Make-whole Credits for Extended Summer Resources [$/day]</t>
  </si>
  <si>
    <t>Zone/Responsible Customer</t>
  </si>
  <si>
    <t>Total ICTRs [MW]</t>
  </si>
  <si>
    <t>Allocation of Req Transmission Enhancement ICTRs to Zone/Responsible Customer</t>
  </si>
  <si>
    <t>Incremental Capacity Transfer Rights (ICTRs)</t>
  </si>
  <si>
    <t>ICTR Credits</t>
  </si>
  <si>
    <t>QTU Credits</t>
  </si>
  <si>
    <t>Sink LDA</t>
  </si>
  <si>
    <t>Qualifying Transmission Upgrade (QTU) -Import Capability Cleared into Sink LDA  [MW]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</si>
  <si>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</si>
  <si>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</si>
  <si>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</si>
  <si>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</si>
  <si>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</si>
  <si>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</si>
  <si>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</si>
  <si>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</si>
  <si>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</si>
  <si>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</si>
  <si>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</si>
  <si>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</si>
  <si>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</si>
  <si>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</si>
  <si>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</si>
  <si>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</si>
  <si>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</si>
  <si>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Cleared Capacity    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</si>
  <si>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</si>
  <si>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</si>
  <si>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</si>
  <si>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</si>
  <si>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Make-Whole Credits</t>
  </si>
  <si>
    <t>Extended Summer Resources Make-whole [MW]</t>
  </si>
  <si>
    <t>Annual Resources Make-whole [MW]</t>
  </si>
  <si>
    <t>Total Make-whole [MW]</t>
  </si>
  <si>
    <t>Extended Summer Resource Make-whole [MW]</t>
  </si>
  <si>
    <t>Preliminary CTRs Allocated = Max of the LDA CTRs Allocated to LSEs [MW]</t>
  </si>
  <si>
    <t>Preliminary Zonal CTR Settlement Rate [$/MW CTR per day]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</si>
  <si>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</si>
  <si>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</si>
  <si>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</si>
  <si>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</si>
  <si>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</si>
  <si>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Component due to Extended Summer Price Adder [$/MW-day]</t>
  </si>
  <si>
    <t>LDA Capacity Price [$/MW-day]</t>
  </si>
  <si>
    <t>*Locational Price Adder with respect to RTO</t>
  </si>
  <si>
    <t>Resource Credits for Limited Resources [$/day]</t>
  </si>
  <si>
    <t>Resource Credits for Extended Summer Resources [$/day]</t>
  </si>
  <si>
    <t>Resource Credits for Annual Resources [$/day]</t>
  </si>
  <si>
    <t>Component due to Make-Whole [$/MW-day]</t>
  </si>
  <si>
    <t>Limited Resources Cleared [MW]</t>
  </si>
  <si>
    <t>Limited Resources Make-whole [MW]</t>
  </si>
  <si>
    <t>Limited Resource Make-whole [MW]</t>
  </si>
  <si>
    <t>Costs due to Extended Summer Resource Price Adder in constrained LDA [$/day]</t>
  </si>
  <si>
    <t>Costs due to Annual Resource Price Adder in constrained LDA [$/day]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</si>
  <si>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</si>
  <si>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</si>
  <si>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</si>
  <si>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</si>
  <si>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</si>
  <si>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</si>
  <si>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b0497: Install Second Conastone-Graceton 230 kV circuit; Replace Conastone 230 kV breaker 2323/2302 (effective 2014/2015)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</si>
  <si>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</si>
  <si>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</si>
  <si>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</si>
  <si>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</si>
  <si>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</si>
  <si>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</si>
  <si>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</si>
  <si>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Regional Facilities and Necessary Lower Voltage Facilities</t>
  </si>
  <si>
    <t>Lower Voltage Faclities</t>
  </si>
  <si>
    <t>ICTRs [MW] for Regional Facilities and Necessary Lower Voltage Facilities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</si>
  <si>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</si>
  <si>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</si>
  <si>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</si>
  <si>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</si>
  <si>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</si>
  <si>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</si>
  <si>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</si>
  <si>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</si>
  <si>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</si>
  <si>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</si>
  <si>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</si>
  <si>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</si>
  <si>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</si>
  <si>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Component due to Annual Resource Price Adder [$/MW-day]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</si>
  <si>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</si>
  <si>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</si>
  <si>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</si>
  <si>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</si>
  <si>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Extended Summer Resource Clearing Price [$/MW-day]</t>
  </si>
  <si>
    <t>Annual Resource Price Adder  [$/MW-day]</t>
  </si>
  <si>
    <t>Locational Price Adder *
  [$/MW-day]</t>
  </si>
  <si>
    <t>Extended Summer Resource Price Adder
 [$/MW-day]</t>
  </si>
  <si>
    <t>Capacity Cleared &amp; Resource Clearing Prices</t>
  </si>
  <si>
    <t>Base Residual Auction</t>
  </si>
  <si>
    <t>Zonal UCAP Obligations, Zonal Capacity Prices, &amp; Zonal CTR Credit Rates</t>
  </si>
  <si>
    <t>Base Zonal CTR Credit Rate ($/MW-UCAP Obligation-day)</t>
  </si>
  <si>
    <t>Total Resources Cleared for PJM LSEs (MW)</t>
  </si>
  <si>
    <t>Annual Resource Clearing Price ($/MW-day)</t>
  </si>
  <si>
    <t>** Obligation affected by FRR quantities.</t>
  </si>
  <si>
    <t>Base Zonal UCAP Obligation      (MW)</t>
  </si>
  <si>
    <t>Preliminary Zonal Capacity Price          ($/MW-day)</t>
  </si>
  <si>
    <t>Preliminary Zonal Net Load Price         ($/MW-day)</t>
  </si>
  <si>
    <t>b1304.1, b1304.2, b1304.3, b1304.4: Various upgrades in PS (effective 2015/2016)</t>
  </si>
  <si>
    <t>2016/2017 DY BRA Resource Clearing Results</t>
  </si>
  <si>
    <t>ATSI-CLEVELAND</t>
  </si>
  <si>
    <t>Rest of ATSI</t>
  </si>
  <si>
    <t>2016/2017 DY BRA Load Pricing Results</t>
  </si>
  <si>
    <t>2016/2017 DY BRA CTRs</t>
  </si>
  <si>
    <t>ATSI Equivalent</t>
  </si>
  <si>
    <t xml:space="preserve">2016/2017 DY BRA ICTRs </t>
  </si>
  <si>
    <t>Additional Component due to Annual Resource Price Adder with respect to Partent LDA [$/MW-day]</t>
  </si>
  <si>
    <t>2016/2017 Delivery Year Summary of Auction Results</t>
  </si>
  <si>
    <t>EKPC **</t>
  </si>
  <si>
    <t>2012 W/N Coincident Peak Load          [MW]</t>
  </si>
  <si>
    <t>EKPC</t>
  </si>
  <si>
    <t>2016/2017 Prelim. Zonal Peak Load Forecast              [MW]</t>
  </si>
  <si>
    <t>Additional Make-whole Adjustments due to NEPA        [$/day)</t>
  </si>
  <si>
    <t>Total Make-Whole Credits           [$/day]</t>
  </si>
  <si>
    <t>Make-whole Credits for Limited Resources    [$/day]</t>
  </si>
  <si>
    <t>Total Make-whole          [MW]</t>
  </si>
  <si>
    <t>Annual Resource Make-whole           [MW]</t>
  </si>
  <si>
    <t>X4-023:  Uprate terminal equipment at Dickerson 230 kV substation</t>
  </si>
  <si>
    <t>Y1-082:  Uprate bus equipment at Wye Mills 69 kV substation</t>
  </si>
  <si>
    <t>b1694: Rebuild Loudoun - Brambleton 500 kV (effective 2016/2017)</t>
  </si>
  <si>
    <t>Calculation of Zonal Capacity Prices for PS, DPL, and ATSI</t>
  </si>
  <si>
    <t>Locational Price Adder * Applicable to LDA [$/MW-day]</t>
  </si>
  <si>
    <t>Additional Locational Price Adder with respect to Reference LDA [$/MW-day]</t>
  </si>
  <si>
    <t>Additional Costs due to Extended Resource Price Adder with respect to Reference LDA [$/day]</t>
  </si>
  <si>
    <t>Additional Component due to Extended Resource Price Adder with respect to Reference LDA [$/MW-day]</t>
  </si>
  <si>
    <t>Additional Costs due to Annual Resource Price Adder with respect to Reference LDA [$/day]</t>
  </si>
  <si>
    <t>Additional Make-whole Costs with respect to  Reference LDA [$/day]</t>
  </si>
  <si>
    <t>Additional Component due to Make-whole with respect to Reference LDA [$/MW-day]</t>
  </si>
  <si>
    <t>Reference LDA Capacity Price [MW] **</t>
  </si>
  <si>
    <t>** Reference LDA is EMAAC for PS and DPL, and RTO for ATSI.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</si>
  <si>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</si>
  <si>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</si>
  <si>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</si>
  <si>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</si>
  <si>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</si>
  <si>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</si>
  <si>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 xml:space="preserve">Note:  Cost Allocation Percentages are based on 2013 cost responsibility assignments from the tariff (from 5-9-13 update).  The cosst allocation percentages may change during actual Delivery Year. </t>
  </si>
  <si>
    <t>A Weighted Locational Price Adder is used in the case of PS or DPL or ATSI Equivalent.</t>
  </si>
  <si>
    <t>No ICTRs for Regional Facilities/ Necessary Lower Voltage Facilities and no ICTRs for Lower Voltage Facilities.</t>
  </si>
  <si>
    <t>PJMDOCS-#752877v2A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</si>
</sst>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_);_(* \(#,##0.0000000\);_(* &quot;-&quot;???????_);_(@_)"/>
    <numFmt numFmtId="210" formatCode="0.000000000"/>
    <numFmt numFmtId="211" formatCode="0.0000000000"/>
    <numFmt numFmtId="212" formatCode="0.00000000000"/>
    <numFmt numFmtId="213" formatCode="0.000000000000"/>
    <numFmt numFmtId="214" formatCode="0.0000000000000"/>
    <numFmt numFmtId="215" formatCode="_(* #,##0.000000000000_);_(* \(#,##0.000000000000\);_(* &quot;-&quot;????????????_);_(@_)"/>
  </numFmts>
  <fonts count="53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Border="1" applyAlignment="1">
      <alignment horizontal="right"/>
    </xf>
    <xf numFmtId="0" fontId="50" fillId="0" borderId="0" xfId="0" applyFont="1" applyAlignment="1">
      <alignment/>
    </xf>
    <xf numFmtId="192" fontId="0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74" fontId="0" fillId="0" borderId="0" xfId="0" applyNumberFormat="1" applyFont="1" applyAlignment="1">
      <alignment/>
    </xf>
    <xf numFmtId="44" fontId="7" fillId="0" borderId="0" xfId="44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2" fontId="50" fillId="0" borderId="0" xfId="42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44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92" fontId="0" fillId="0" borderId="10" xfId="4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0" fontId="0" fillId="0" borderId="10" xfId="59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74" fontId="0" fillId="0" borderId="13" xfId="0" applyNumberFormat="1" applyFont="1" applyBorder="1" applyAlignment="1">
      <alignment/>
    </xf>
    <xf numFmtId="0" fontId="51" fillId="0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 wrapText="1"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9" fillId="0" borderId="0" xfId="0" applyNumberFormat="1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/>
    </xf>
    <xf numFmtId="192" fontId="0" fillId="0" borderId="10" xfId="42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/>
    </xf>
    <xf numFmtId="170" fontId="0" fillId="0" borderId="13" xfId="0" applyNumberFormat="1" applyFont="1" applyBorder="1" applyAlignment="1">
      <alignment/>
    </xf>
    <xf numFmtId="0" fontId="12" fillId="5" borderId="16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166" fontId="0" fillId="0" borderId="17" xfId="59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18" xfId="59" applyNumberFormat="1" applyFont="1" applyFill="1" applyBorder="1" applyAlignment="1">
      <alignment horizontal="right"/>
    </xf>
    <xf numFmtId="173" fontId="0" fillId="0" borderId="18" xfId="59" applyNumberFormat="1" applyFont="1" applyFill="1" applyBorder="1" applyAlignment="1">
      <alignment horizontal="right"/>
    </xf>
    <xf numFmtId="192" fontId="0" fillId="0" borderId="18" xfId="42" applyNumberFormat="1" applyFont="1" applyFill="1" applyBorder="1" applyAlignment="1">
      <alignment horizontal="right"/>
    </xf>
    <xf numFmtId="166" fontId="0" fillId="0" borderId="18" xfId="59" applyNumberFormat="1" applyFont="1" applyFill="1" applyBorder="1" applyAlignment="1">
      <alignment horizontal="right"/>
    </xf>
    <xf numFmtId="164" fontId="0" fillId="0" borderId="18" xfId="59" applyNumberFormat="1" applyFont="1" applyFill="1" applyBorder="1" applyAlignment="1">
      <alignment horizontal="right"/>
    </xf>
    <xf numFmtId="170" fontId="0" fillId="0" borderId="19" xfId="59" applyNumberFormat="1" applyFont="1" applyBorder="1" applyAlignment="1">
      <alignment horizontal="right"/>
    </xf>
    <xf numFmtId="0" fontId="12" fillId="7" borderId="16" xfId="0" applyFont="1" applyFill="1" applyBorder="1" applyAlignment="1">
      <alignment/>
    </xf>
    <xf numFmtId="0" fontId="12" fillId="7" borderId="2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8" xfId="0" applyFont="1" applyBorder="1" applyAlignment="1">
      <alignment/>
    </xf>
    <xf numFmtId="0" fontId="12" fillId="5" borderId="20" xfId="0" applyFont="1" applyFill="1" applyBorder="1" applyAlignment="1">
      <alignment/>
    </xf>
    <xf numFmtId="165" fontId="0" fillId="0" borderId="18" xfId="0" applyNumberFormat="1" applyFont="1" applyBorder="1" applyAlignment="1">
      <alignment/>
    </xf>
    <xf numFmtId="174" fontId="0" fillId="0" borderId="13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0" fontId="12" fillId="4" borderId="2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13" fillId="6" borderId="16" xfId="0" applyFont="1" applyFill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2" fillId="3" borderId="16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4" fontId="0" fillId="0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2" fontId="0" fillId="0" borderId="10" xfId="42" applyNumberFormat="1" applyFont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44" fontId="7" fillId="0" borderId="23" xfId="44" applyFont="1" applyBorder="1" applyAlignment="1">
      <alignment horizontal="center" wrapText="1"/>
    </xf>
    <xf numFmtId="44" fontId="7" fillId="0" borderId="23" xfId="44" applyFont="1" applyFill="1" applyBorder="1" applyAlignment="1">
      <alignment horizontal="center" wrapText="1"/>
    </xf>
    <xf numFmtId="44" fontId="7" fillId="0" borderId="24" xfId="44" applyFont="1" applyBorder="1" applyAlignment="1">
      <alignment horizontal="center" wrapText="1"/>
    </xf>
    <xf numFmtId="165" fontId="0" fillId="7" borderId="10" xfId="0" applyNumberFormat="1" applyFont="1" applyFill="1" applyBorder="1" applyAlignment="1">
      <alignment horizontal="right"/>
    </xf>
    <xf numFmtId="0" fontId="7" fillId="7" borderId="15" xfId="0" applyFont="1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wrapText="1"/>
    </xf>
    <xf numFmtId="165" fontId="0" fillId="7" borderId="18" xfId="0" applyNumberFormat="1" applyFont="1" applyFill="1" applyBorder="1" applyAlignment="1">
      <alignment horizontal="right"/>
    </xf>
    <xf numFmtId="0" fontId="7" fillId="5" borderId="17" xfId="0" applyNumberFormat="1" applyFont="1" applyFill="1" applyBorder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192" fontId="0" fillId="0" borderId="1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5" borderId="18" xfId="0" applyNumberFormat="1" applyFont="1" applyFill="1" applyBorder="1" applyAlignment="1">
      <alignment horizontal="right"/>
    </xf>
    <xf numFmtId="165" fontId="0" fillId="5" borderId="19" xfId="0" applyNumberFormat="1" applyFont="1" applyFill="1" applyBorder="1" applyAlignment="1">
      <alignment horizontal="right"/>
    </xf>
    <xf numFmtId="165" fontId="7" fillId="4" borderId="18" xfId="44" applyNumberFormat="1" applyFont="1" applyFill="1" applyBorder="1" applyAlignment="1">
      <alignment/>
    </xf>
    <xf numFmtId="165" fontId="7" fillId="4" borderId="19" xfId="44" applyNumberFormat="1" applyFont="1" applyFill="1" applyBorder="1" applyAlignment="1">
      <alignment/>
    </xf>
    <xf numFmtId="165" fontId="0" fillId="6" borderId="10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 horizontal="right"/>
    </xf>
    <xf numFmtId="165" fontId="0" fillId="4" borderId="10" xfId="42" applyNumberFormat="1" applyFont="1" applyFill="1" applyBorder="1" applyAlignment="1">
      <alignment horizontal="right"/>
    </xf>
    <xf numFmtId="165" fontId="0" fillId="4" borderId="13" xfId="0" applyNumberFormat="1" applyFont="1" applyFill="1" applyBorder="1" applyAlignment="1">
      <alignment/>
    </xf>
    <xf numFmtId="165" fontId="0" fillId="4" borderId="13" xfId="44" applyNumberFormat="1" applyFont="1" applyFill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65" fontId="0" fillId="4" borderId="13" xfId="42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center" wrapText="1"/>
    </xf>
    <xf numFmtId="192" fontId="0" fillId="0" borderId="15" xfId="42" applyNumberFormat="1" applyFont="1" applyBorder="1" applyAlignment="1">
      <alignment horizontal="right"/>
    </xf>
    <xf numFmtId="192" fontId="0" fillId="0" borderId="15" xfId="42" applyNumberFormat="1" applyFont="1" applyFill="1" applyBorder="1" applyAlignment="1">
      <alignment horizontal="right"/>
    </xf>
    <xf numFmtId="192" fontId="0" fillId="0" borderId="10" xfId="42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165" fontId="0" fillId="0" borderId="27" xfId="0" applyNumberFormat="1" applyFont="1" applyBorder="1" applyAlignment="1">
      <alignment horizontal="right"/>
    </xf>
    <xf numFmtId="165" fontId="0" fillId="0" borderId="27" xfId="0" applyNumberFormat="1" applyFont="1" applyFill="1" applyBorder="1" applyAlignment="1">
      <alignment horizontal="right"/>
    </xf>
    <xf numFmtId="165" fontId="0" fillId="7" borderId="27" xfId="0" applyNumberFormat="1" applyFont="1" applyFill="1" applyBorder="1" applyAlignment="1">
      <alignment horizontal="right"/>
    </xf>
    <xf numFmtId="165" fontId="0" fillId="7" borderId="28" xfId="0" applyNumberFormat="1" applyFont="1" applyFill="1" applyBorder="1" applyAlignment="1">
      <alignment horizontal="right"/>
    </xf>
    <xf numFmtId="192" fontId="0" fillId="0" borderId="27" xfId="42" applyNumberFormat="1" applyFont="1" applyFill="1" applyBorder="1" applyAlignment="1">
      <alignment horizontal="right"/>
    </xf>
    <xf numFmtId="192" fontId="0" fillId="0" borderId="27" xfId="42" applyNumberFormat="1" applyFont="1" applyBorder="1" applyAlignment="1">
      <alignment/>
    </xf>
    <xf numFmtId="174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164" fontId="51" fillId="0" borderId="0" xfId="0" applyNumberFormat="1" applyFont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right" wrapText="1"/>
    </xf>
    <xf numFmtId="0" fontId="7" fillId="0" borderId="31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right"/>
    </xf>
    <xf numFmtId="0" fontId="7" fillId="7" borderId="32" xfId="0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94" fontId="0" fillId="6" borderId="1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/>
    </xf>
    <xf numFmtId="165" fontId="7" fillId="6" borderId="18" xfId="0" applyNumberFormat="1" applyFont="1" applyFill="1" applyBorder="1" applyAlignment="1">
      <alignment horizontal="right"/>
    </xf>
    <xf numFmtId="0" fontId="12" fillId="4" borderId="16" xfId="0" applyFont="1" applyFill="1" applyBorder="1" applyAlignment="1">
      <alignment wrapText="1"/>
    </xf>
    <xf numFmtId="192" fontId="0" fillId="0" borderId="13" xfId="42" applyNumberFormat="1" applyFont="1" applyFill="1" applyBorder="1" applyAlignment="1">
      <alignment/>
    </xf>
    <xf numFmtId="0" fontId="7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92" fontId="0" fillId="0" borderId="18" xfId="42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92" fontId="0" fillId="0" borderId="13" xfId="42" applyNumberFormat="1" applyFont="1" applyBorder="1" applyAlignment="1">
      <alignment/>
    </xf>
    <xf numFmtId="192" fontId="0" fillId="0" borderId="19" xfId="42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center" wrapText="1"/>
    </xf>
    <xf numFmtId="165" fontId="10" fillId="0" borderId="19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10" fillId="0" borderId="19" xfId="44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5" fontId="0" fillId="0" borderId="18" xfId="44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0" fontId="7" fillId="0" borderId="33" xfId="0" applyFont="1" applyFill="1" applyBorder="1" applyAlignment="1">
      <alignment horizontal="center" wrapText="1"/>
    </xf>
    <xf numFmtId="192" fontId="0" fillId="0" borderId="34" xfId="42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 wrapText="1"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165" fontId="0" fillId="4" borderId="34" xfId="0" applyNumberFormat="1" applyFont="1" applyFill="1" applyBorder="1" applyAlignment="1">
      <alignment/>
    </xf>
    <xf numFmtId="165" fontId="0" fillId="4" borderId="36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0" borderId="35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3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92" fontId="0" fillId="0" borderId="11" xfId="42" applyNumberFormat="1" applyFont="1" applyFill="1" applyBorder="1" applyAlignment="1">
      <alignment/>
    </xf>
    <xf numFmtId="192" fontId="0" fillId="0" borderId="12" xfId="42" applyNumberFormat="1" applyFont="1" applyFill="1" applyBorder="1" applyAlignment="1">
      <alignment/>
    </xf>
    <xf numFmtId="164" fontId="0" fillId="0" borderId="21" xfId="0" applyNumberFormat="1" applyFont="1" applyBorder="1" applyAlignment="1">
      <alignment horizontal="right"/>
    </xf>
    <xf numFmtId="165" fontId="0" fillId="0" borderId="37" xfId="44" applyNumberFormat="1" applyFont="1" applyBorder="1" applyAlignment="1">
      <alignment horizontal="right"/>
    </xf>
    <xf numFmtId="174" fontId="0" fillId="0" borderId="21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165" fontId="0" fillId="0" borderId="37" xfId="0" applyNumberFormat="1" applyFont="1" applyBorder="1" applyAlignment="1">
      <alignment horizontal="right"/>
    </xf>
    <xf numFmtId="164" fontId="7" fillId="0" borderId="38" xfId="0" applyNumberFormat="1" applyFont="1" applyBorder="1" applyAlignment="1">
      <alignment horizontal="right"/>
    </xf>
    <xf numFmtId="165" fontId="7" fillId="0" borderId="39" xfId="44" applyNumberFormat="1" applyFont="1" applyBorder="1" applyAlignment="1">
      <alignment horizontal="right"/>
    </xf>
    <xf numFmtId="174" fontId="0" fillId="0" borderId="38" xfId="0" applyNumberFormat="1" applyFont="1" applyBorder="1" applyAlignment="1">
      <alignment horizontal="right"/>
    </xf>
    <xf numFmtId="165" fontId="7" fillId="0" borderId="40" xfId="44" applyNumberFormat="1" applyFont="1" applyBorder="1" applyAlignment="1">
      <alignment horizontal="right"/>
    </xf>
    <xf numFmtId="44" fontId="7" fillId="0" borderId="40" xfId="44" applyFont="1" applyBorder="1" applyAlignment="1">
      <alignment horizontal="right"/>
    </xf>
    <xf numFmtId="44" fontId="7" fillId="0" borderId="39" xfId="44" applyFont="1" applyBorder="1" applyAlignment="1">
      <alignment horizontal="right"/>
    </xf>
    <xf numFmtId="0" fontId="7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165" fontId="7" fillId="0" borderId="18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0" fontId="0" fillId="0" borderId="43" xfId="0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5" fontId="0" fillId="2" borderId="10" xfId="44" applyNumberFormat="1" applyFont="1" applyFill="1" applyBorder="1" applyAlignment="1">
      <alignment/>
    </xf>
    <xf numFmtId="192" fontId="0" fillId="0" borderId="0" xfId="42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192" fontId="0" fillId="2" borderId="10" xfId="42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7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192" fontId="0" fillId="2" borderId="10" xfId="42" applyNumberFormat="1" applyFont="1" applyFill="1" applyBorder="1" applyAlignment="1">
      <alignment vertical="center"/>
    </xf>
    <xf numFmtId="165" fontId="0" fillId="2" borderId="10" xfId="42" applyNumberFormat="1" applyFont="1" applyFill="1" applyBorder="1" applyAlignment="1">
      <alignment vertical="center"/>
    </xf>
    <xf numFmtId="165" fontId="0" fillId="2" borderId="10" xfId="44" applyNumberFormat="1" applyFont="1" applyFill="1" applyBorder="1" applyAlignment="1">
      <alignment vertical="center"/>
    </xf>
    <xf numFmtId="165" fontId="0" fillId="2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92" fontId="7" fillId="0" borderId="4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46" xfId="0" applyNumberFormat="1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165" fontId="7" fillId="0" borderId="47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12" fillId="6" borderId="16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92" fontId="0" fillId="0" borderId="45" xfId="42" applyNumberFormat="1" applyFont="1" applyBorder="1" applyAlignment="1">
      <alignment horizontal="right"/>
    </xf>
    <xf numFmtId="165" fontId="0" fillId="0" borderId="45" xfId="0" applyNumberFormat="1" applyFont="1" applyBorder="1" applyAlignment="1">
      <alignment horizontal="right"/>
    </xf>
    <xf numFmtId="165" fontId="0" fillId="0" borderId="45" xfId="42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51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15" xfId="0" applyNumberFormat="1" applyFont="1" applyBorder="1" applyAlignment="1">
      <alignment horizontal="right"/>
    </xf>
    <xf numFmtId="165" fontId="0" fillId="0" borderId="15" xfId="42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52" xfId="42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192" fontId="7" fillId="0" borderId="45" xfId="42" applyNumberFormat="1" applyFont="1" applyFill="1" applyBorder="1" applyAlignment="1">
      <alignment/>
    </xf>
    <xf numFmtId="192" fontId="7" fillId="0" borderId="45" xfId="42" applyNumberFormat="1" applyFont="1" applyBorder="1" applyAlignment="1">
      <alignment horizontal="left" indent="2"/>
    </xf>
    <xf numFmtId="192" fontId="0" fillId="0" borderId="13" xfId="42" applyNumberFormat="1" applyFont="1" applyBorder="1" applyAlignment="1">
      <alignment/>
    </xf>
    <xf numFmtId="0" fontId="7" fillId="0" borderId="45" xfId="0" applyFont="1" applyBorder="1" applyAlignment="1">
      <alignment/>
    </xf>
    <xf numFmtId="0" fontId="0" fillId="0" borderId="53" xfId="0" applyFont="1" applyBorder="1" applyAlignment="1">
      <alignment horizontal="right" vertical="center"/>
    </xf>
    <xf numFmtId="165" fontId="7" fillId="0" borderId="37" xfId="0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left"/>
    </xf>
    <xf numFmtId="0" fontId="13" fillId="0" borderId="5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Fill="1" applyBorder="1" applyAlignment="1">
      <alignment horizontal="left" wrapText="1"/>
    </xf>
    <xf numFmtId="164" fontId="0" fillId="0" borderId="11" xfId="0" applyNumberFormat="1" applyFont="1" applyFill="1" applyBorder="1" applyAlignment="1">
      <alignment horizontal="right"/>
    </xf>
    <xf numFmtId="164" fontId="0" fillId="0" borderId="30" xfId="0" applyNumberFormat="1" applyFont="1" applyFill="1" applyBorder="1" applyAlignment="1">
      <alignment horizontal="right"/>
    </xf>
    <xf numFmtId="164" fontId="7" fillId="7" borderId="11" xfId="0" applyNumberFormat="1" applyFont="1" applyFill="1" applyBorder="1" applyAlignment="1">
      <alignment horizontal="right"/>
    </xf>
    <xf numFmtId="164" fontId="7" fillId="7" borderId="30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164" fontId="7" fillId="7" borderId="21" xfId="0" applyNumberFormat="1" applyFont="1" applyFill="1" applyBorder="1" applyAlignment="1">
      <alignment horizontal="right"/>
    </xf>
    <xf numFmtId="164" fontId="7" fillId="7" borderId="55" xfId="0" applyNumberFormat="1" applyFont="1" applyFill="1" applyBorder="1" applyAlignment="1">
      <alignment horizontal="right"/>
    </xf>
    <xf numFmtId="164" fontId="7" fillId="7" borderId="3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 vertical="center" wrapText="1"/>
    </xf>
    <xf numFmtId="165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165" fontId="49" fillId="0" borderId="0" xfId="0" applyNumberFormat="1" applyFont="1" applyBorder="1" applyAlignment="1">
      <alignment/>
    </xf>
    <xf numFmtId="165" fontId="7" fillId="0" borderId="28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174" fontId="7" fillId="0" borderId="27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" fontId="0" fillId="0" borderId="18" xfId="42" applyNumberFormat="1" applyFont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2" fillId="0" borderId="10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6" borderId="14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17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2" fillId="6" borderId="18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 vertical="center" wrapText="1"/>
    </xf>
    <xf numFmtId="0" fontId="13" fillId="5" borderId="52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165" fontId="11" fillId="0" borderId="43" xfId="0" applyNumberFormat="1" applyFont="1" applyBorder="1" applyAlignment="1">
      <alignment horizontal="center" vertical="top" wrapText="1"/>
    </xf>
    <xf numFmtId="165" fontId="11" fillId="0" borderId="57" xfId="0" applyNumberFormat="1" applyFont="1" applyBorder="1" applyAlignment="1">
      <alignment horizontal="center" vertical="top" wrapText="1"/>
    </xf>
    <xf numFmtId="165" fontId="11" fillId="0" borderId="43" xfId="0" applyNumberFormat="1" applyFont="1" applyBorder="1" applyAlignment="1">
      <alignment horizontal="center" vertical="center" wrapText="1"/>
    </xf>
    <xf numFmtId="165" fontId="11" fillId="0" borderId="56" xfId="0" applyNumberFormat="1" applyFont="1" applyBorder="1" applyAlignment="1">
      <alignment horizontal="center" vertical="center" wrapText="1"/>
    </xf>
    <xf numFmtId="165" fontId="11" fillId="0" borderId="57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6.7109375" style="0" customWidth="1"/>
    <col min="2" max="6" width="15.7109375" style="0" customWidth="1"/>
  </cols>
  <sheetData>
    <row r="1" spans="1:5" ht="18">
      <c r="A1" s="351" t="s">
        <v>188</v>
      </c>
      <c r="B1" s="351"/>
      <c r="C1" s="351"/>
      <c r="D1" s="351"/>
      <c r="E1" s="351"/>
    </row>
    <row r="3" ht="12.75">
      <c r="A3" s="21" t="s">
        <v>220</v>
      </c>
    </row>
    <row r="4" spans="1:5" ht="15">
      <c r="A4" s="274" t="s">
        <v>169</v>
      </c>
      <c r="B4" s="275"/>
      <c r="C4" s="275"/>
      <c r="D4" s="185"/>
      <c r="E4" s="185"/>
    </row>
    <row r="5" spans="1:3" ht="12.75">
      <c r="A5" s="276"/>
      <c r="B5" s="350" t="s">
        <v>170</v>
      </c>
      <c r="C5" s="350"/>
    </row>
    <row r="6" spans="1:6" ht="51">
      <c r="A6" s="287" t="s">
        <v>3</v>
      </c>
      <c r="B6" s="278" t="s">
        <v>173</v>
      </c>
      <c r="C6" s="278" t="s">
        <v>174</v>
      </c>
      <c r="F6" s="130" t="s">
        <v>24</v>
      </c>
    </row>
    <row r="7" spans="1:3" ht="12.75">
      <c r="A7" s="279" t="s">
        <v>6</v>
      </c>
      <c r="B7" s="280">
        <f>'BRA Resource Clearing Results'!E19</f>
        <v>169159.7</v>
      </c>
      <c r="C7" s="282">
        <f>'BRA Resource Clearing Results'!H5</f>
        <v>59.37</v>
      </c>
    </row>
    <row r="8" spans="1:3" ht="12.75">
      <c r="A8" s="279" t="s">
        <v>30</v>
      </c>
      <c r="B8" s="280">
        <f>'BRA Resource Clearing Results'!E20</f>
        <v>66546.4</v>
      </c>
      <c r="C8" s="282">
        <f>'BRA Resource Clearing Results'!H6</f>
        <v>119.13</v>
      </c>
    </row>
    <row r="9" spans="1:3" ht="12.75">
      <c r="A9" s="279" t="s">
        <v>41</v>
      </c>
      <c r="B9" s="280">
        <f>'BRA Resource Clearing Results'!E21</f>
        <v>31521.7</v>
      </c>
      <c r="C9" s="282">
        <f>'BRA Resource Clearing Results'!H7</f>
        <v>119.13</v>
      </c>
    </row>
    <row r="10" spans="1:3" ht="12.75">
      <c r="A10" s="279" t="s">
        <v>5</v>
      </c>
      <c r="B10" s="280">
        <f>'BRA Resource Clearing Results'!E22</f>
        <v>12050</v>
      </c>
      <c r="C10" s="282">
        <f>'BRA Resource Clearing Results'!H8</f>
        <v>119.13</v>
      </c>
    </row>
    <row r="11" spans="1:3" ht="12.75">
      <c r="A11" s="279" t="s">
        <v>8</v>
      </c>
      <c r="B11" s="280">
        <f>'BRA Resource Clearing Results'!E23</f>
        <v>6298.599999999999</v>
      </c>
      <c r="C11" s="282">
        <f>'BRA Resource Clearing Results'!H9</f>
        <v>219</v>
      </c>
    </row>
    <row r="12" spans="1:3" ht="12.75">
      <c r="A12" s="279" t="s">
        <v>42</v>
      </c>
      <c r="B12" s="280">
        <f>'BRA Resource Clearing Results'!E24</f>
        <v>3702.1</v>
      </c>
      <c r="C12" s="282">
        <f>'BRA Resource Clearing Results'!H10</f>
        <v>219</v>
      </c>
    </row>
    <row r="13" spans="1:3" ht="12.75">
      <c r="A13" s="279" t="s">
        <v>43</v>
      </c>
      <c r="B13" s="280">
        <f>'BRA Resource Clearing Results'!E25</f>
        <v>1746</v>
      </c>
      <c r="C13" s="282">
        <f>'BRA Resource Clearing Results'!H11</f>
        <v>119.13</v>
      </c>
    </row>
    <row r="14" spans="1:3" ht="12.75">
      <c r="A14" s="279" t="s">
        <v>15</v>
      </c>
      <c r="B14" s="280">
        <f>'BRA Resource Clearing Results'!E26</f>
        <v>6093.7</v>
      </c>
      <c r="C14" s="282">
        <f>'BRA Resource Clearing Results'!H12</f>
        <v>119.13</v>
      </c>
    </row>
    <row r="15" spans="1:3" ht="12.75">
      <c r="A15" s="273" t="s">
        <v>51</v>
      </c>
      <c r="B15" s="272">
        <f>'BRA Resource Clearing Results'!E27</f>
        <v>8672.2</v>
      </c>
      <c r="C15" s="269">
        <f>'BRA Resource Clearing Results'!H13</f>
        <v>114.22999999999999</v>
      </c>
    </row>
    <row r="16" spans="1:3" ht="12.75">
      <c r="A16" s="273" t="s">
        <v>181</v>
      </c>
      <c r="B16" s="272">
        <f>'BRA Resource Clearing Results'!E28</f>
        <v>2850</v>
      </c>
      <c r="C16" s="269">
        <f>'BRA Resource Clearing Results'!H14</f>
        <v>114.22999999999999</v>
      </c>
    </row>
    <row r="17" spans="1:3" ht="12.75">
      <c r="A17" s="12"/>
      <c r="B17" s="270"/>
      <c r="C17" s="271"/>
    </row>
    <row r="18" spans="1:3" ht="12.75">
      <c r="A18" s="12"/>
      <c r="B18" s="270"/>
      <c r="C18" s="271"/>
    </row>
    <row r="19" spans="1:5" ht="15">
      <c r="A19" s="274" t="s">
        <v>171</v>
      </c>
      <c r="B19" s="275"/>
      <c r="C19" s="275"/>
      <c r="D19" s="275"/>
      <c r="E19" s="275"/>
    </row>
    <row r="20" spans="1:5" ht="15" customHeight="1">
      <c r="A20" s="276"/>
      <c r="B20" s="350" t="s">
        <v>170</v>
      </c>
      <c r="C20" s="350"/>
      <c r="D20" s="350"/>
      <c r="E20" s="350"/>
    </row>
    <row r="21" spans="1:5" ht="54.75" customHeight="1">
      <c r="A21" s="277" t="s">
        <v>7</v>
      </c>
      <c r="B21" s="278" t="s">
        <v>176</v>
      </c>
      <c r="C21" s="278" t="s">
        <v>177</v>
      </c>
      <c r="D21" s="278" t="s">
        <v>172</v>
      </c>
      <c r="E21" s="278" t="s">
        <v>178</v>
      </c>
    </row>
    <row r="22" spans="1:5" ht="12.75">
      <c r="A22" s="279" t="s">
        <v>16</v>
      </c>
      <c r="B22" s="280">
        <f>'BRA Load Pricing Results'!K37</f>
        <v>3164.1171534316227</v>
      </c>
      <c r="C22" s="281">
        <f>'BRA Load Pricing Results'!L37</f>
        <v>119.13</v>
      </c>
      <c r="D22" s="282">
        <f>'BRA CTRs'!U18</f>
        <v>0.24053015200786307</v>
      </c>
      <c r="E22" s="283">
        <f aca="true" t="shared" si="0" ref="E22:E41">C22-D22</f>
        <v>118.88946984799213</v>
      </c>
    </row>
    <row r="23" spans="1:5" ht="12.75">
      <c r="A23" s="279" t="s">
        <v>57</v>
      </c>
      <c r="B23" s="280">
        <f>'BRA Load Pricing Results'!K38</f>
        <v>13540.577959428254</v>
      </c>
      <c r="C23" s="281">
        <f>'BRA Load Pricing Results'!L38</f>
        <v>59.37</v>
      </c>
      <c r="D23" s="282">
        <f>'BRA CTRs'!U19</f>
        <v>0</v>
      </c>
      <c r="E23" s="283">
        <f t="shared" si="0"/>
        <v>59.37</v>
      </c>
    </row>
    <row r="24" spans="1:5" ht="12.75">
      <c r="A24" s="279" t="s">
        <v>19</v>
      </c>
      <c r="B24" s="280">
        <f>'BRA Load Pricing Results'!K39</f>
        <v>9992.786955445808</v>
      </c>
      <c r="C24" s="281">
        <f>'BRA Load Pricing Results'!L39</f>
        <v>59.37</v>
      </c>
      <c r="D24" s="282">
        <f>'BRA CTRs'!U20</f>
        <v>0</v>
      </c>
      <c r="E24" s="283">
        <f t="shared" si="0"/>
        <v>59.37</v>
      </c>
    </row>
    <row r="25" spans="1:5" ht="12.75">
      <c r="A25" s="279" t="s">
        <v>51</v>
      </c>
      <c r="B25" s="280">
        <f>'BRA Load Pricing Results'!K40</f>
        <v>15121.11342734487</v>
      </c>
      <c r="C25" s="281">
        <f>'BRA Load Pricing Results'!L40</f>
        <v>104.4806778815449</v>
      </c>
      <c r="D25" s="282">
        <f>'BRA CTRs'!U21</f>
        <v>13.938654649489141</v>
      </c>
      <c r="E25" s="283">
        <f t="shared" si="0"/>
        <v>90.54202323205577</v>
      </c>
    </row>
    <row r="26" spans="1:5" ht="12.75">
      <c r="A26" s="279" t="s">
        <v>11</v>
      </c>
      <c r="B26" s="280">
        <f>'BRA Load Pricing Results'!K41</f>
        <v>8289.031565136473</v>
      </c>
      <c r="C26" s="281">
        <f>'BRA Load Pricing Results'!L41</f>
        <v>119.13</v>
      </c>
      <c r="D26" s="282">
        <f>'BRA CTRs'!U22</f>
        <v>0.24053015200786307</v>
      </c>
      <c r="E26" s="283">
        <f t="shared" si="0"/>
        <v>118.88946984799213</v>
      </c>
    </row>
    <row r="27" spans="1:5" ht="12.75">
      <c r="A27" s="279" t="s">
        <v>20</v>
      </c>
      <c r="B27" s="280">
        <f>'BRA Load Pricing Results'!K42</f>
        <v>26732.354268244737</v>
      </c>
      <c r="C27" s="281">
        <f>'BRA Load Pricing Results'!L42</f>
        <v>59.37</v>
      </c>
      <c r="D27" s="282">
        <f>'BRA CTRs'!U23</f>
        <v>0</v>
      </c>
      <c r="E27" s="283">
        <f t="shared" si="0"/>
        <v>59.37</v>
      </c>
    </row>
    <row r="28" spans="1:5" ht="12.75">
      <c r="A28" s="279" t="s">
        <v>21</v>
      </c>
      <c r="B28" s="280">
        <f>'BRA Load Pricing Results'!K43</f>
        <v>4044.4286835380485</v>
      </c>
      <c r="C28" s="281">
        <f>'BRA Load Pricing Results'!L43</f>
        <v>59.37</v>
      </c>
      <c r="D28" s="282">
        <f>'BRA CTRs'!U24</f>
        <v>0</v>
      </c>
      <c r="E28" s="283">
        <f t="shared" si="0"/>
        <v>59.37</v>
      </c>
    </row>
    <row r="29" spans="1:5" ht="12.75">
      <c r="A29" s="279" t="s">
        <v>64</v>
      </c>
      <c r="B29" s="280">
        <f>'BRA Load Pricing Results'!K44</f>
        <v>5320.337735149425</v>
      </c>
      <c r="C29" s="281">
        <f>'BRA Load Pricing Results'!L44</f>
        <v>59.37</v>
      </c>
      <c r="D29" s="282">
        <f>'BRA CTRs'!U25</f>
        <v>0</v>
      </c>
      <c r="E29" s="283">
        <f t="shared" si="0"/>
        <v>59.37</v>
      </c>
    </row>
    <row r="30" spans="1:5" ht="12.75">
      <c r="A30" s="279" t="s">
        <v>50</v>
      </c>
      <c r="B30" s="280">
        <f>'BRA Load Pricing Results'!K45</f>
        <v>3407.5107806186707</v>
      </c>
      <c r="C30" s="281">
        <f>'BRA Load Pricing Results'!L45</f>
        <v>59.37</v>
      </c>
      <c r="D30" s="282">
        <f>'BRA CTRs'!U26</f>
        <v>0</v>
      </c>
      <c r="E30" s="283">
        <f t="shared" si="0"/>
        <v>59.37</v>
      </c>
    </row>
    <row r="31" spans="1:5" ht="12.75">
      <c r="A31" s="279" t="s">
        <v>33</v>
      </c>
      <c r="B31" s="280">
        <f>'BRA Load Pricing Results'!K46</f>
        <v>23219.069621605526</v>
      </c>
      <c r="C31" s="281">
        <f>'BRA Load Pricing Results'!L46</f>
        <v>59.37</v>
      </c>
      <c r="D31" s="282">
        <f>'BRA CTRs'!U27</f>
        <v>0</v>
      </c>
      <c r="E31" s="283">
        <f t="shared" si="0"/>
        <v>59.37</v>
      </c>
    </row>
    <row r="32" spans="1:5" ht="12.75">
      <c r="A32" s="279" t="s">
        <v>17</v>
      </c>
      <c r="B32" s="280">
        <f>'BRA Load Pricing Results'!K47</f>
        <v>4790.532512672177</v>
      </c>
      <c r="C32" s="281">
        <f>'BRA Load Pricing Results'!L47</f>
        <v>119.13</v>
      </c>
      <c r="D32" s="282">
        <f>'BRA CTRs'!U28</f>
        <v>0.2405301520078631</v>
      </c>
      <c r="E32" s="283">
        <f t="shared" si="0"/>
        <v>118.88946984799213</v>
      </c>
    </row>
    <row r="33" spans="1:5" ht="12.75">
      <c r="A33" s="279" t="s">
        <v>189</v>
      </c>
      <c r="B33" s="280">
        <f>'BRA Load Pricing Results'!K48</f>
        <v>2465.1625144896684</v>
      </c>
      <c r="C33" s="281">
        <f>'BRA Load Pricing Results'!L48</f>
        <v>59.37</v>
      </c>
      <c r="D33" s="282">
        <f>'BRA CTRs'!U29</f>
        <v>0</v>
      </c>
      <c r="E33" s="283">
        <f t="shared" si="0"/>
        <v>59.37</v>
      </c>
    </row>
    <row r="34" spans="1:5" ht="12.75">
      <c r="A34" s="279" t="s">
        <v>12</v>
      </c>
      <c r="B34" s="280">
        <f>'BRA Load Pricing Results'!K49</f>
        <v>7257.452033086694</v>
      </c>
      <c r="C34" s="281">
        <f>'BRA Load Pricing Results'!L49</f>
        <v>119.13</v>
      </c>
      <c r="D34" s="282">
        <f>'BRA CTRs'!U30</f>
        <v>0.2405301520078631</v>
      </c>
      <c r="E34" s="283">
        <f t="shared" si="0"/>
        <v>118.88946984799213</v>
      </c>
    </row>
    <row r="35" spans="1:5" ht="12.75">
      <c r="A35" s="279" t="s">
        <v>13</v>
      </c>
      <c r="B35" s="280">
        <f>'BRA Load Pricing Results'!K50</f>
        <v>3489.400225279733</v>
      </c>
      <c r="C35" s="281">
        <f>'BRA Load Pricing Results'!L50</f>
        <v>119.13</v>
      </c>
      <c r="D35" s="282">
        <f>'BRA CTRs'!U31</f>
        <v>0.2405301520078631</v>
      </c>
      <c r="E35" s="283">
        <f t="shared" si="0"/>
        <v>118.88946984799213</v>
      </c>
    </row>
    <row r="36" spans="1:5" ht="12.75">
      <c r="A36" s="279" t="s">
        <v>9</v>
      </c>
      <c r="B36" s="280">
        <f>'BRA Load Pricing Results'!K51</f>
        <v>10131.544070010386</v>
      </c>
      <c r="C36" s="281">
        <f>'BRA Load Pricing Results'!L51</f>
        <v>119.13</v>
      </c>
      <c r="D36" s="282">
        <f>'BRA CTRs'!U32</f>
        <v>0.2405301520078631</v>
      </c>
      <c r="E36" s="283">
        <f t="shared" si="0"/>
        <v>118.88946984799213</v>
      </c>
    </row>
    <row r="37" spans="1:5" ht="12.75">
      <c r="A37" s="279" t="s">
        <v>14</v>
      </c>
      <c r="B37" s="280">
        <f>'BRA Load Pricing Results'!K52</f>
        <v>3462.103743726045</v>
      </c>
      <c r="C37" s="281">
        <f>'BRA Load Pricing Results'!L52</f>
        <v>119.13</v>
      </c>
      <c r="D37" s="282">
        <f>'BRA CTRs'!U33</f>
        <v>0.24053015200786304</v>
      </c>
      <c r="E37" s="283">
        <f t="shared" si="0"/>
        <v>118.88946984799213</v>
      </c>
    </row>
    <row r="38" spans="1:5" ht="12.75">
      <c r="A38" s="279" t="s">
        <v>15</v>
      </c>
      <c r="B38" s="280">
        <f>'BRA Load Pricing Results'!K53</f>
        <v>7734.003106878157</v>
      </c>
      <c r="C38" s="281">
        <f>'BRA Load Pricing Results'!L53</f>
        <v>119.13</v>
      </c>
      <c r="D38" s="282">
        <f>'BRA CTRs'!U34</f>
        <v>0.24053015200786312</v>
      </c>
      <c r="E38" s="283">
        <f t="shared" si="0"/>
        <v>118.88946984799213</v>
      </c>
    </row>
    <row r="39" spans="1:5" ht="12.75">
      <c r="A39" s="279" t="s">
        <v>10</v>
      </c>
      <c r="B39" s="280">
        <f>'BRA Load Pricing Results'!K54</f>
        <v>8622.276110771076</v>
      </c>
      <c r="C39" s="281">
        <f>'BRA Load Pricing Results'!L54</f>
        <v>119.13</v>
      </c>
      <c r="D39" s="282">
        <f>'BRA CTRs'!U35</f>
        <v>0.24053015200786307</v>
      </c>
      <c r="E39" s="283">
        <f t="shared" si="0"/>
        <v>118.88946984799213</v>
      </c>
    </row>
    <row r="40" spans="1:5" ht="12.75">
      <c r="A40" s="279" t="s">
        <v>8</v>
      </c>
      <c r="B40" s="280">
        <f>'BRA Load Pricing Results'!K55</f>
        <v>12055.946019545365</v>
      </c>
      <c r="C40" s="281">
        <f>'BRA Load Pricing Results'!L55</f>
        <v>219</v>
      </c>
      <c r="D40" s="282">
        <f>'BRA CTRs'!U36</f>
        <v>41.38608634851499</v>
      </c>
      <c r="E40" s="283">
        <f t="shared" si="0"/>
        <v>177.613913651485</v>
      </c>
    </row>
    <row r="41" spans="1:5" ht="12.75">
      <c r="A41" s="279" t="s">
        <v>18</v>
      </c>
      <c r="B41" s="280">
        <f>'BRA Load Pricing Results'!K56</f>
        <v>473.1390135972519</v>
      </c>
      <c r="C41" s="281">
        <f>'BRA Load Pricing Results'!L56</f>
        <v>119.13</v>
      </c>
      <c r="D41" s="282">
        <f>'BRA CTRs'!U37</f>
        <v>0.24053015200786307</v>
      </c>
      <c r="E41" s="283">
        <f t="shared" si="0"/>
        <v>118.88946984799213</v>
      </c>
    </row>
    <row r="42" spans="1:5" ht="12.75">
      <c r="A42" s="284"/>
      <c r="B42" s="285">
        <f>SUM(B22:B41)</f>
        <v>173312.8875</v>
      </c>
      <c r="C42" s="284"/>
      <c r="D42" s="284"/>
      <c r="E42" s="284"/>
    </row>
    <row r="43" spans="1:5" ht="12.75">
      <c r="A43" s="286" t="s">
        <v>175</v>
      </c>
      <c r="B43" s="284"/>
      <c r="C43" s="284"/>
      <c r="D43" s="284"/>
      <c r="E43" s="284"/>
    </row>
  </sheetData>
  <sheetProtection/>
  <mergeCells count="3">
    <mergeCell ref="B5:C5"/>
    <mergeCell ref="B20:E20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7109375" style="6" customWidth="1"/>
    <col min="2" max="2" width="18.28125" style="6" customWidth="1"/>
    <col min="3" max="3" width="15.7109375" style="6" customWidth="1"/>
    <col min="4" max="4" width="16.421875" style="6" customWidth="1"/>
    <col min="5" max="5" width="15.7109375" style="6" customWidth="1"/>
    <col min="6" max="6" width="18.7109375" style="6" customWidth="1"/>
    <col min="7" max="7" width="16.7109375" style="6" customWidth="1"/>
    <col min="8" max="8" width="18.421875" style="6" bestFit="1" customWidth="1"/>
    <col min="9" max="9" width="18.28125" style="6" customWidth="1"/>
    <col min="10" max="10" width="19.140625" style="6" customWidth="1"/>
    <col min="11" max="12" width="16.7109375" style="6" customWidth="1"/>
    <col min="13" max="19" width="15.7109375" style="6" customWidth="1"/>
    <col min="20" max="20" width="16.421875" style="6" customWidth="1"/>
    <col min="21" max="25" width="15.7109375" style="6" customWidth="1"/>
    <col min="26" max="26" width="12.7109375" style="6" customWidth="1"/>
    <col min="27" max="30" width="9.140625" style="6" customWidth="1"/>
    <col min="31" max="16384" width="9.140625" style="6" customWidth="1"/>
  </cols>
  <sheetData>
    <row r="1" spans="1:7" ht="18.75">
      <c r="A1" s="3" t="s">
        <v>180</v>
      </c>
      <c r="B1" s="10"/>
      <c r="D1" s="6" t="s">
        <v>24</v>
      </c>
      <c r="E1" s="339" t="s">
        <v>24</v>
      </c>
      <c r="F1" s="338" t="s">
        <v>24</v>
      </c>
      <c r="G1" s="52" t="s">
        <v>24</v>
      </c>
    </row>
    <row r="2" spans="1:26" ht="19.5" customHeight="1" thickBot="1">
      <c r="A2" s="21" t="s">
        <v>24</v>
      </c>
      <c r="B2" s="10"/>
      <c r="D2" s="12" t="s">
        <v>24</v>
      </c>
      <c r="E2" s="343" t="s">
        <v>24</v>
      </c>
      <c r="F2" s="4" t="s">
        <v>24</v>
      </c>
      <c r="G2" s="7"/>
      <c r="H2" s="28" t="s">
        <v>24</v>
      </c>
      <c r="M2" s="6" t="s">
        <v>24</v>
      </c>
      <c r="T2" s="10"/>
      <c r="U2" s="10"/>
      <c r="V2" s="10"/>
      <c r="W2" s="10"/>
      <c r="X2" s="10"/>
      <c r="Y2" s="10"/>
      <c r="Z2" s="10"/>
    </row>
    <row r="3" spans="1:25" s="2" customFormat="1" ht="18.75" thickBot="1">
      <c r="A3" s="101" t="s">
        <v>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45"/>
      <c r="S3" s="45"/>
      <c r="T3" s="45"/>
      <c r="U3" s="45"/>
      <c r="V3" s="45"/>
      <c r="W3" s="45"/>
      <c r="Y3" s="45"/>
    </row>
    <row r="4" spans="1:25" s="8" customFormat="1" ht="66" customHeight="1">
      <c r="A4" s="88" t="s">
        <v>3</v>
      </c>
      <c r="B4" s="89" t="s">
        <v>73</v>
      </c>
      <c r="C4" s="89" t="s">
        <v>167</v>
      </c>
      <c r="D4" s="145" t="s">
        <v>61</v>
      </c>
      <c r="E4" s="89" t="s">
        <v>168</v>
      </c>
      <c r="F4" s="145" t="s">
        <v>165</v>
      </c>
      <c r="G4" s="89" t="s">
        <v>166</v>
      </c>
      <c r="H4" s="146" t="s">
        <v>59</v>
      </c>
      <c r="I4" s="49"/>
      <c r="J4" s="49"/>
      <c r="K4" s="49"/>
      <c r="L4" s="49"/>
      <c r="M4" s="49"/>
      <c r="N4" s="49"/>
      <c r="O4" s="49"/>
      <c r="P4" s="49"/>
      <c r="Q4" s="49"/>
      <c r="R4" s="23"/>
      <c r="S4" s="23"/>
      <c r="T4" s="23"/>
      <c r="U4" s="23"/>
      <c r="V4" s="23"/>
      <c r="W4" s="49"/>
      <c r="Y4" s="49"/>
    </row>
    <row r="5" spans="1:25" ht="12.75">
      <c r="A5" s="50" t="s">
        <v>6</v>
      </c>
      <c r="B5" s="59">
        <v>59.37</v>
      </c>
      <c r="C5" s="59">
        <v>0</v>
      </c>
      <c r="D5" s="144">
        <f>B5+C5</f>
        <v>59.37</v>
      </c>
      <c r="E5" s="59">
        <v>0</v>
      </c>
      <c r="F5" s="144">
        <f aca="true" t="shared" si="0" ref="F5:F11">D5+E5</f>
        <v>59.37</v>
      </c>
      <c r="G5" s="59">
        <v>0</v>
      </c>
      <c r="H5" s="147">
        <f aca="true" t="shared" si="1" ref="H5:H12">F5+G5</f>
        <v>59.37</v>
      </c>
      <c r="I5" s="10"/>
      <c r="J5" s="10"/>
      <c r="K5" s="10"/>
      <c r="L5" s="10"/>
      <c r="M5" s="10"/>
      <c r="N5" s="10"/>
      <c r="O5" s="10"/>
      <c r="P5" s="10"/>
      <c r="Q5" s="10"/>
      <c r="R5" s="74"/>
      <c r="S5" s="74"/>
      <c r="T5" s="74"/>
      <c r="U5" s="74"/>
      <c r="V5" s="74"/>
      <c r="W5" s="10"/>
      <c r="Y5" s="10"/>
    </row>
    <row r="6" spans="1:25" ht="12.75">
      <c r="A6" s="50" t="s">
        <v>30</v>
      </c>
      <c r="B6" s="59">
        <f>$B$5</f>
        <v>59.37</v>
      </c>
      <c r="C6" s="59">
        <v>59.76</v>
      </c>
      <c r="D6" s="144">
        <f>B6+C6</f>
        <v>119.13</v>
      </c>
      <c r="E6" s="59">
        <v>0</v>
      </c>
      <c r="F6" s="144">
        <f t="shared" si="0"/>
        <v>119.13</v>
      </c>
      <c r="G6" s="59">
        <v>0</v>
      </c>
      <c r="H6" s="147">
        <f t="shared" si="1"/>
        <v>119.13</v>
      </c>
      <c r="I6" s="10"/>
      <c r="J6" s="10"/>
      <c r="K6" s="10"/>
      <c r="L6" s="10"/>
      <c r="M6" s="10"/>
      <c r="N6" s="10"/>
      <c r="O6" s="10"/>
      <c r="P6" s="10"/>
      <c r="Q6" s="10"/>
      <c r="R6" s="74"/>
      <c r="S6" s="74"/>
      <c r="T6" s="74"/>
      <c r="U6" s="34"/>
      <c r="V6" s="74"/>
      <c r="W6" s="10"/>
      <c r="Y6" s="10"/>
    </row>
    <row r="7" spans="1:25" ht="12.75">
      <c r="A7" s="50" t="s">
        <v>41</v>
      </c>
      <c r="B7" s="59">
        <f aca="true" t="shared" si="2" ref="B7:B14">$B$5</f>
        <v>59.37</v>
      </c>
      <c r="C7" s="59">
        <v>0</v>
      </c>
      <c r="D7" s="144">
        <f>B7+C6+C7</f>
        <v>119.13</v>
      </c>
      <c r="E7" s="59">
        <v>0</v>
      </c>
      <c r="F7" s="144">
        <f t="shared" si="0"/>
        <v>119.13</v>
      </c>
      <c r="G7" s="59">
        <v>0</v>
      </c>
      <c r="H7" s="147">
        <f t="shared" si="1"/>
        <v>119.13</v>
      </c>
      <c r="I7" s="10"/>
      <c r="J7" s="10"/>
      <c r="K7" s="10"/>
      <c r="L7" s="10"/>
      <c r="M7" s="10"/>
      <c r="N7" s="10"/>
      <c r="O7" s="10"/>
      <c r="P7" s="10"/>
      <c r="Q7" s="10"/>
      <c r="R7" s="74"/>
      <c r="S7" s="74"/>
      <c r="T7" s="74"/>
      <c r="U7" s="34"/>
      <c r="V7" s="74"/>
      <c r="W7" s="10"/>
      <c r="Y7" s="10"/>
    </row>
    <row r="8" spans="1:25" ht="12.75">
      <c r="A8" s="50" t="s">
        <v>5</v>
      </c>
      <c r="B8" s="59">
        <f t="shared" si="2"/>
        <v>59.37</v>
      </c>
      <c r="C8" s="59">
        <v>0</v>
      </c>
      <c r="D8" s="144">
        <f>B8+C6+C8</f>
        <v>119.13</v>
      </c>
      <c r="E8" s="59">
        <v>0</v>
      </c>
      <c r="F8" s="144">
        <f t="shared" si="0"/>
        <v>119.13</v>
      </c>
      <c r="G8" s="59">
        <v>0</v>
      </c>
      <c r="H8" s="147">
        <f t="shared" si="1"/>
        <v>119.13</v>
      </c>
      <c r="I8" s="10"/>
      <c r="J8" s="10"/>
      <c r="K8" s="10"/>
      <c r="L8" s="10"/>
      <c r="M8" s="10"/>
      <c r="N8" s="10"/>
      <c r="O8" s="10"/>
      <c r="P8" s="10"/>
      <c r="Q8" s="10"/>
      <c r="R8" s="74"/>
      <c r="S8" s="74"/>
      <c r="T8" s="74"/>
      <c r="U8" s="34"/>
      <c r="V8" s="74"/>
      <c r="W8" s="10"/>
      <c r="Y8" s="10"/>
    </row>
    <row r="9" spans="1:25" ht="12.75">
      <c r="A9" s="50" t="s">
        <v>8</v>
      </c>
      <c r="B9" s="59">
        <f t="shared" si="2"/>
        <v>59.37</v>
      </c>
      <c r="C9" s="59">
        <v>99.87</v>
      </c>
      <c r="D9" s="144">
        <f>B9+C6+C7+C9</f>
        <v>219</v>
      </c>
      <c r="E9" s="59">
        <v>0</v>
      </c>
      <c r="F9" s="144">
        <f t="shared" si="0"/>
        <v>219</v>
      </c>
      <c r="G9" s="59">
        <v>0</v>
      </c>
      <c r="H9" s="147">
        <f t="shared" si="1"/>
        <v>219</v>
      </c>
      <c r="I9" s="10"/>
      <c r="J9" s="10"/>
      <c r="K9" s="10"/>
      <c r="L9" s="10"/>
      <c r="M9" s="10"/>
      <c r="N9" s="10"/>
      <c r="O9" s="10"/>
      <c r="P9" s="10"/>
      <c r="Q9" s="10"/>
      <c r="R9" s="74"/>
      <c r="S9" s="74"/>
      <c r="T9" s="74"/>
      <c r="U9" s="34"/>
      <c r="V9" s="34"/>
      <c r="W9" s="10"/>
      <c r="Y9" s="10"/>
    </row>
    <row r="10" spans="1:25" ht="12.75">
      <c r="A10" s="50" t="s">
        <v>42</v>
      </c>
      <c r="B10" s="59">
        <f t="shared" si="2"/>
        <v>59.37</v>
      </c>
      <c r="C10" s="59">
        <v>0</v>
      </c>
      <c r="D10" s="144">
        <f>B10+C6+C7+C9+C10</f>
        <v>219</v>
      </c>
      <c r="E10" s="59">
        <v>0</v>
      </c>
      <c r="F10" s="144">
        <f t="shared" si="0"/>
        <v>219</v>
      </c>
      <c r="G10" s="59">
        <v>0</v>
      </c>
      <c r="H10" s="147">
        <f t="shared" si="1"/>
        <v>219</v>
      </c>
      <c r="I10" s="10"/>
      <c r="J10" s="10"/>
      <c r="K10" s="10"/>
      <c r="L10" s="10"/>
      <c r="M10" s="10"/>
      <c r="N10" s="10"/>
      <c r="O10" s="10"/>
      <c r="P10" s="10"/>
      <c r="Q10" s="10"/>
      <c r="R10" s="74"/>
      <c r="S10" s="74"/>
      <c r="T10" s="74"/>
      <c r="U10" s="34"/>
      <c r="V10" s="34"/>
      <c r="W10" s="10"/>
      <c r="Y10" s="10"/>
    </row>
    <row r="11" spans="1:25" ht="12.75">
      <c r="A11" s="50" t="s">
        <v>43</v>
      </c>
      <c r="B11" s="59">
        <f t="shared" si="2"/>
        <v>59.37</v>
      </c>
      <c r="C11" s="59">
        <v>0</v>
      </c>
      <c r="D11" s="144">
        <f>B11+C6+C7+C11</f>
        <v>119.13</v>
      </c>
      <c r="E11" s="59">
        <v>0</v>
      </c>
      <c r="F11" s="144">
        <f t="shared" si="0"/>
        <v>119.13</v>
      </c>
      <c r="G11" s="59">
        <v>0</v>
      </c>
      <c r="H11" s="147">
        <f t="shared" si="1"/>
        <v>119.13</v>
      </c>
      <c r="I11" s="10" t="s">
        <v>24</v>
      </c>
      <c r="J11" s="10"/>
      <c r="K11" s="10"/>
      <c r="L11" s="10"/>
      <c r="M11" s="10"/>
      <c r="N11" s="10"/>
      <c r="O11" s="10"/>
      <c r="P11" s="10"/>
      <c r="Q11" s="10"/>
      <c r="R11" s="74"/>
      <c r="S11" s="74"/>
      <c r="T11" s="74"/>
      <c r="U11" s="34"/>
      <c r="V11" s="34"/>
      <c r="W11" s="10"/>
      <c r="Y11" s="10"/>
    </row>
    <row r="12" spans="1:25" ht="12.75">
      <c r="A12" s="127" t="s">
        <v>15</v>
      </c>
      <c r="B12" s="59">
        <f t="shared" si="2"/>
        <v>59.37</v>
      </c>
      <c r="C12" s="152">
        <v>0</v>
      </c>
      <c r="D12" s="144">
        <f>B12+C6+C8+C12</f>
        <v>119.13</v>
      </c>
      <c r="E12" s="59">
        <v>0</v>
      </c>
      <c r="F12" s="144">
        <f>D12+E12</f>
        <v>119.13</v>
      </c>
      <c r="G12" s="59">
        <v>0</v>
      </c>
      <c r="H12" s="147">
        <f t="shared" si="1"/>
        <v>119.13</v>
      </c>
      <c r="I12" s="10"/>
      <c r="J12" s="10"/>
      <c r="K12" s="10"/>
      <c r="L12" s="10"/>
      <c r="M12" s="10"/>
      <c r="N12" s="10"/>
      <c r="O12" s="10"/>
      <c r="P12" s="10"/>
      <c r="Q12" s="10"/>
      <c r="R12" s="74"/>
      <c r="S12" s="74"/>
      <c r="T12" s="74"/>
      <c r="U12" s="74"/>
      <c r="V12" s="74"/>
      <c r="W12" s="10"/>
      <c r="Y12" s="10"/>
    </row>
    <row r="13" spans="1:25" ht="12.75">
      <c r="A13" s="127" t="s">
        <v>51</v>
      </c>
      <c r="B13" s="59">
        <f t="shared" si="2"/>
        <v>59.37</v>
      </c>
      <c r="C13" s="152">
        <v>35.08</v>
      </c>
      <c r="D13" s="144">
        <f>B13+C13</f>
        <v>94.44999999999999</v>
      </c>
      <c r="E13" s="59">
        <v>19.78</v>
      </c>
      <c r="F13" s="144">
        <f>D13+E13</f>
        <v>114.22999999999999</v>
      </c>
      <c r="G13" s="59">
        <v>0</v>
      </c>
      <c r="H13" s="147">
        <f>F13+G13</f>
        <v>114.22999999999999</v>
      </c>
      <c r="I13" s="10"/>
      <c r="J13" s="10"/>
      <c r="K13" s="10"/>
      <c r="L13" s="10"/>
      <c r="M13" s="10"/>
      <c r="N13" s="10"/>
      <c r="O13" s="10"/>
      <c r="P13" s="10"/>
      <c r="Q13" s="10"/>
      <c r="R13" s="74"/>
      <c r="S13" s="74"/>
      <c r="T13" s="74"/>
      <c r="U13" s="74"/>
      <c r="V13" s="74"/>
      <c r="W13" s="10"/>
      <c r="Y13" s="10"/>
    </row>
    <row r="14" spans="1:25" ht="13.5" thickBot="1">
      <c r="A14" s="171" t="s">
        <v>181</v>
      </c>
      <c r="B14" s="172">
        <f t="shared" si="2"/>
        <v>59.37</v>
      </c>
      <c r="C14" s="173">
        <v>0</v>
      </c>
      <c r="D14" s="174">
        <f>B14+C13+C14</f>
        <v>94.44999999999999</v>
      </c>
      <c r="E14" s="172">
        <v>19.78</v>
      </c>
      <c r="F14" s="174">
        <f>D14+E14</f>
        <v>114.22999999999999</v>
      </c>
      <c r="G14" s="172">
        <v>0</v>
      </c>
      <c r="H14" s="175">
        <f>F14+G14</f>
        <v>114.22999999999999</v>
      </c>
      <c r="I14" s="10"/>
      <c r="J14" s="10"/>
      <c r="K14" s="10"/>
      <c r="L14" s="10"/>
      <c r="M14" s="10"/>
      <c r="N14" s="10"/>
      <c r="O14" s="10"/>
      <c r="P14" s="10"/>
      <c r="Q14" s="10"/>
      <c r="R14" s="74"/>
      <c r="S14" s="74"/>
      <c r="T14" s="74"/>
      <c r="U14" s="74"/>
      <c r="V14" s="74"/>
      <c r="W14" s="10"/>
      <c r="Y14" s="10"/>
    </row>
    <row r="15" spans="1:25" ht="12.75">
      <c r="A15" s="12" t="s">
        <v>29</v>
      </c>
      <c r="B15" s="34"/>
      <c r="C15" s="34"/>
      <c r="D15" s="34"/>
      <c r="E15" s="35"/>
      <c r="F15" s="25"/>
      <c r="G15" s="25"/>
      <c r="H15" s="25"/>
      <c r="I15" s="63" t="s">
        <v>24</v>
      </c>
      <c r="J15" s="63"/>
      <c r="K15" s="63"/>
      <c r="L15" s="47" t="s">
        <v>24</v>
      </c>
      <c r="M15" s="10"/>
      <c r="N15" s="10"/>
      <c r="O15" s="10"/>
      <c r="P15" s="10"/>
      <c r="Q15" s="10"/>
      <c r="R15" s="47"/>
      <c r="S15" s="47"/>
      <c r="T15" s="47"/>
      <c r="U15" s="47"/>
      <c r="V15" s="47"/>
      <c r="W15" s="10"/>
      <c r="Y15" s="10" t="s">
        <v>24</v>
      </c>
    </row>
    <row r="16" spans="1:25" ht="13.5" thickBot="1">
      <c r="A16" s="12"/>
      <c r="B16" s="34"/>
      <c r="C16" s="34"/>
      <c r="D16" s="34"/>
      <c r="E16" s="35"/>
      <c r="F16" s="25"/>
      <c r="G16" s="25"/>
      <c r="H16" s="25"/>
      <c r="I16" s="63"/>
      <c r="J16" s="63"/>
      <c r="K16" s="63"/>
      <c r="L16" s="47"/>
      <c r="R16" s="47"/>
      <c r="S16" s="47"/>
      <c r="T16" s="47"/>
      <c r="U16" s="47"/>
      <c r="V16" s="47"/>
      <c r="Y16" s="10"/>
    </row>
    <row r="17" spans="1:25" ht="15.75" thickBot="1">
      <c r="A17" s="297" t="s">
        <v>70</v>
      </c>
      <c r="B17" s="34"/>
      <c r="C17" s="34"/>
      <c r="D17" s="34"/>
      <c r="E17" s="35"/>
      <c r="F17" s="25"/>
      <c r="G17" s="25"/>
      <c r="H17" s="25"/>
      <c r="I17" s="63"/>
      <c r="J17" s="63"/>
      <c r="K17" s="63"/>
      <c r="L17" s="47"/>
      <c r="R17" s="47"/>
      <c r="S17" s="47"/>
      <c r="T17" s="47"/>
      <c r="U17" s="47"/>
      <c r="V17" s="47"/>
      <c r="Y17" s="10"/>
    </row>
    <row r="18" spans="1:25" ht="69" customHeight="1" thickBot="1">
      <c r="A18" s="138" t="s">
        <v>3</v>
      </c>
      <c r="B18" s="139" t="s">
        <v>125</v>
      </c>
      <c r="C18" s="139" t="s">
        <v>62</v>
      </c>
      <c r="D18" s="139" t="s">
        <v>60</v>
      </c>
      <c r="E18" s="139" t="s">
        <v>63</v>
      </c>
      <c r="F18" s="139" t="s">
        <v>126</v>
      </c>
      <c r="G18" s="139" t="s">
        <v>107</v>
      </c>
      <c r="H18" s="139" t="s">
        <v>108</v>
      </c>
      <c r="I18" s="140" t="s">
        <v>109</v>
      </c>
      <c r="J18" s="130"/>
      <c r="R18" s="47"/>
      <c r="S18" s="47"/>
      <c r="T18" s="47"/>
      <c r="U18" s="47"/>
      <c r="V18" s="47"/>
      <c r="Y18" s="10"/>
    </row>
    <row r="19" spans="1:25" ht="12.75">
      <c r="A19" s="92" t="s">
        <v>6</v>
      </c>
      <c r="B19" s="168">
        <v>9849.5</v>
      </c>
      <c r="C19" s="168">
        <v>2470</v>
      </c>
      <c r="D19" s="169">
        <v>156840.2</v>
      </c>
      <c r="E19" s="131">
        <f>B19+C19+D19</f>
        <v>169159.7</v>
      </c>
      <c r="F19" s="132">
        <v>0</v>
      </c>
      <c r="G19" s="132">
        <v>0</v>
      </c>
      <c r="H19" s="132">
        <v>0</v>
      </c>
      <c r="I19" s="133">
        <f aca="true" t="shared" si="3" ref="I19:I26">F19+G19+H19</f>
        <v>0</v>
      </c>
      <c r="J19" s="10"/>
      <c r="K19" s="7"/>
      <c r="M19" s="149"/>
      <c r="R19" s="47"/>
      <c r="S19" s="47"/>
      <c r="T19" s="47"/>
      <c r="U19" s="47"/>
      <c r="V19" s="47"/>
      <c r="Y19" s="10"/>
    </row>
    <row r="20" spans="1:25" ht="12.75">
      <c r="A20" s="50" t="s">
        <v>30</v>
      </c>
      <c r="B20" s="57">
        <v>4264.3</v>
      </c>
      <c r="C20" s="57">
        <v>1053.4</v>
      </c>
      <c r="D20" s="170">
        <v>61228.7</v>
      </c>
      <c r="E20" s="62">
        <f aca="true" t="shared" si="4" ref="E20:E25">B20+C20+D20</f>
        <v>66546.4</v>
      </c>
      <c r="F20" s="43">
        <v>0</v>
      </c>
      <c r="G20" s="43">
        <v>0</v>
      </c>
      <c r="H20" s="43">
        <v>0</v>
      </c>
      <c r="I20" s="105">
        <f t="shared" si="3"/>
        <v>0</v>
      </c>
      <c r="J20" s="10"/>
      <c r="K20" s="7"/>
      <c r="M20" s="7"/>
      <c r="R20" s="47"/>
      <c r="S20" s="47"/>
      <c r="T20" s="47"/>
      <c r="U20" s="47"/>
      <c r="V20" s="47"/>
      <c r="Y20" s="10"/>
    </row>
    <row r="21" spans="1:25" ht="12.75">
      <c r="A21" s="50" t="s">
        <v>41</v>
      </c>
      <c r="B21" s="57">
        <v>1547.3</v>
      </c>
      <c r="C21" s="57">
        <v>437.7</v>
      </c>
      <c r="D21" s="170">
        <v>29536.7</v>
      </c>
      <c r="E21" s="62">
        <f t="shared" si="4"/>
        <v>31521.7</v>
      </c>
      <c r="F21" s="43">
        <v>0</v>
      </c>
      <c r="G21" s="43">
        <v>0</v>
      </c>
      <c r="H21" s="43">
        <v>0</v>
      </c>
      <c r="I21" s="105">
        <f t="shared" si="3"/>
        <v>0</v>
      </c>
      <c r="J21" s="10"/>
      <c r="K21" s="7"/>
      <c r="M21" s="150"/>
      <c r="R21" s="47"/>
      <c r="S21" s="47"/>
      <c r="T21" s="47"/>
      <c r="U21" s="47"/>
      <c r="V21" s="47"/>
      <c r="Y21" s="10"/>
    </row>
    <row r="22" spans="1:25" ht="12.75">
      <c r="A22" s="50" t="s">
        <v>5</v>
      </c>
      <c r="B22" s="57">
        <v>1173.3</v>
      </c>
      <c r="C22" s="57">
        <v>426.2</v>
      </c>
      <c r="D22" s="170">
        <v>10450.5</v>
      </c>
      <c r="E22" s="62">
        <f t="shared" si="4"/>
        <v>12050</v>
      </c>
      <c r="F22" s="43">
        <v>0</v>
      </c>
      <c r="G22" s="43">
        <v>0</v>
      </c>
      <c r="H22" s="43">
        <v>0</v>
      </c>
      <c r="I22" s="105">
        <f t="shared" si="3"/>
        <v>0</v>
      </c>
      <c r="J22" s="10"/>
      <c r="K22" s="7"/>
      <c r="R22" s="47"/>
      <c r="S22" s="47"/>
      <c r="T22" s="47"/>
      <c r="U22" s="47"/>
      <c r="V22" s="47"/>
      <c r="Y22" s="10"/>
    </row>
    <row r="23" spans="1:25" ht="12.75">
      <c r="A23" s="50" t="s">
        <v>8</v>
      </c>
      <c r="B23" s="57">
        <v>550.4</v>
      </c>
      <c r="C23" s="57">
        <v>61.8</v>
      </c>
      <c r="D23" s="170">
        <v>5686.4</v>
      </c>
      <c r="E23" s="62">
        <f t="shared" si="4"/>
        <v>6298.599999999999</v>
      </c>
      <c r="F23" s="43">
        <v>0</v>
      </c>
      <c r="G23" s="43">
        <v>0</v>
      </c>
      <c r="H23" s="43">
        <v>0</v>
      </c>
      <c r="I23" s="105">
        <f t="shared" si="3"/>
        <v>0</v>
      </c>
      <c r="J23" s="10"/>
      <c r="K23" s="7"/>
      <c r="R23" s="47"/>
      <c r="S23" s="47"/>
      <c r="T23" s="47"/>
      <c r="U23" s="47"/>
      <c r="V23" s="47"/>
      <c r="Y23" s="10"/>
    </row>
    <row r="24" spans="1:25" ht="12.75">
      <c r="A24" s="50" t="s">
        <v>42</v>
      </c>
      <c r="B24" s="57">
        <v>211.3</v>
      </c>
      <c r="C24" s="57">
        <v>15.3</v>
      </c>
      <c r="D24" s="151">
        <v>3475.5</v>
      </c>
      <c r="E24" s="62">
        <f t="shared" si="4"/>
        <v>3702.1</v>
      </c>
      <c r="F24" s="43">
        <v>0</v>
      </c>
      <c r="G24" s="43">
        <v>0</v>
      </c>
      <c r="H24" s="43">
        <v>0</v>
      </c>
      <c r="I24" s="105">
        <f t="shared" si="3"/>
        <v>0</v>
      </c>
      <c r="J24" s="10"/>
      <c r="K24" s="7"/>
      <c r="R24" s="47"/>
      <c r="S24" s="47"/>
      <c r="T24" s="47"/>
      <c r="U24" s="47"/>
      <c r="V24" s="47"/>
      <c r="Y24" s="10"/>
    </row>
    <row r="25" spans="1:25" ht="12.75">
      <c r="A25" s="50" t="s">
        <v>43</v>
      </c>
      <c r="B25" s="57">
        <v>98.8</v>
      </c>
      <c r="C25" s="57">
        <v>6.9</v>
      </c>
      <c r="D25" s="151">
        <v>1640.3</v>
      </c>
      <c r="E25" s="62">
        <f t="shared" si="4"/>
        <v>1746</v>
      </c>
      <c r="F25" s="43">
        <v>0</v>
      </c>
      <c r="G25" s="43">
        <v>0</v>
      </c>
      <c r="H25" s="43">
        <v>0</v>
      </c>
      <c r="I25" s="105">
        <f t="shared" si="3"/>
        <v>0</v>
      </c>
      <c r="J25" s="10"/>
      <c r="K25" s="7"/>
      <c r="R25" s="47"/>
      <c r="S25" s="47"/>
      <c r="T25" s="47"/>
      <c r="U25" s="47"/>
      <c r="V25" s="47"/>
      <c r="Y25" s="10"/>
    </row>
    <row r="26" spans="1:25" ht="12.75">
      <c r="A26" s="127" t="s">
        <v>15</v>
      </c>
      <c r="B26" s="151">
        <v>290</v>
      </c>
      <c r="C26" s="170">
        <v>373.9</v>
      </c>
      <c r="D26" s="151">
        <v>5429.8</v>
      </c>
      <c r="E26" s="62">
        <f>B26+C26+D26</f>
        <v>6093.7</v>
      </c>
      <c r="F26" s="43">
        <v>0</v>
      </c>
      <c r="G26" s="43">
        <v>0</v>
      </c>
      <c r="H26" s="43">
        <v>0</v>
      </c>
      <c r="I26" s="105">
        <f t="shared" si="3"/>
        <v>0</v>
      </c>
      <c r="J26" s="10"/>
      <c r="K26" s="7"/>
      <c r="R26" s="47"/>
      <c r="S26" s="47"/>
      <c r="T26" s="47"/>
      <c r="U26" s="47"/>
      <c r="V26" s="47"/>
      <c r="Y26" s="10"/>
    </row>
    <row r="27" spans="1:25" ht="12.75">
      <c r="A27" s="127" t="s">
        <v>51</v>
      </c>
      <c r="B27" s="151">
        <v>1004.1</v>
      </c>
      <c r="C27" s="170">
        <v>799.3</v>
      </c>
      <c r="D27" s="151">
        <v>6868.8</v>
      </c>
      <c r="E27" s="62">
        <f>B27+C27+D27</f>
        <v>8672.2</v>
      </c>
      <c r="F27" s="43">
        <v>0</v>
      </c>
      <c r="G27" s="43">
        <v>0</v>
      </c>
      <c r="H27" s="43">
        <v>0</v>
      </c>
      <c r="I27" s="105">
        <f>F27+G27+H27</f>
        <v>0</v>
      </c>
      <c r="J27" s="10"/>
      <c r="K27" s="7"/>
      <c r="R27" s="47"/>
      <c r="S27" s="47"/>
      <c r="T27" s="47"/>
      <c r="U27" s="47"/>
      <c r="V27" s="47"/>
      <c r="Y27" s="10"/>
    </row>
    <row r="28" spans="1:25" ht="13.5" thickBot="1">
      <c r="A28" s="171" t="s">
        <v>181</v>
      </c>
      <c r="B28" s="176">
        <v>365.4</v>
      </c>
      <c r="C28" s="177">
        <v>103.3</v>
      </c>
      <c r="D28" s="176">
        <v>2381.3</v>
      </c>
      <c r="E28" s="178">
        <f>B28+C28+D28</f>
        <v>2850</v>
      </c>
      <c r="F28" s="179">
        <v>0</v>
      </c>
      <c r="G28" s="179">
        <v>0</v>
      </c>
      <c r="H28" s="179">
        <v>0</v>
      </c>
      <c r="I28" s="180">
        <f>F28+G28+H28</f>
        <v>0</v>
      </c>
      <c r="J28" s="10"/>
      <c r="K28" s="7"/>
      <c r="R28" s="47"/>
      <c r="S28" s="47"/>
      <c r="T28" s="47"/>
      <c r="U28" s="47"/>
      <c r="V28" s="47"/>
      <c r="Y28" s="10"/>
    </row>
    <row r="29" spans="1:25" ht="13.5" thickBot="1">
      <c r="A29" s="12"/>
      <c r="B29" s="34"/>
      <c r="C29" s="34"/>
      <c r="D29" s="34"/>
      <c r="E29" s="35"/>
      <c r="F29" s="25"/>
      <c r="G29" s="25"/>
      <c r="H29" s="25"/>
      <c r="I29" s="63"/>
      <c r="J29" s="63"/>
      <c r="K29" s="63"/>
      <c r="L29" s="47"/>
      <c r="R29" s="47"/>
      <c r="S29" s="47"/>
      <c r="T29" s="47"/>
      <c r="U29" s="47"/>
      <c r="V29" s="47"/>
      <c r="Y29" s="10"/>
    </row>
    <row r="30" spans="1:25" ht="15.75" thickBot="1">
      <c r="A30" s="106" t="s">
        <v>67</v>
      </c>
      <c r="B30" s="292"/>
      <c r="C30" s="292"/>
      <c r="D30" s="292"/>
      <c r="E30" s="293"/>
      <c r="F30" s="294"/>
      <c r="G30" s="294"/>
      <c r="H30" s="294"/>
      <c r="I30" s="295"/>
      <c r="J30" s="63"/>
      <c r="K30" s="63"/>
      <c r="L30" s="47"/>
      <c r="M30" s="47"/>
      <c r="N30" s="47"/>
      <c r="O30" s="47"/>
      <c r="P30" s="47"/>
      <c r="Q30" s="47"/>
      <c r="R30" s="47"/>
      <c r="Y30" s="10"/>
    </row>
    <row r="31" spans="1:25" ht="84.75" customHeight="1">
      <c r="A31" s="88" t="s">
        <v>3</v>
      </c>
      <c r="B31" s="89" t="s">
        <v>125</v>
      </c>
      <c r="C31" s="89" t="s">
        <v>62</v>
      </c>
      <c r="D31" s="89" t="s">
        <v>60</v>
      </c>
      <c r="E31" s="89" t="s">
        <v>63</v>
      </c>
      <c r="F31" s="90" t="s">
        <v>121</v>
      </c>
      <c r="G31" s="90" t="s">
        <v>122</v>
      </c>
      <c r="H31" s="90" t="s">
        <v>123</v>
      </c>
      <c r="I31" s="91" t="s">
        <v>66</v>
      </c>
      <c r="K31" s="130"/>
      <c r="L31" s="130"/>
      <c r="M31" s="130"/>
      <c r="N31" s="130"/>
      <c r="O31" s="130"/>
      <c r="P31" s="130"/>
      <c r="R31" s="47"/>
      <c r="Y31" s="10"/>
    </row>
    <row r="32" spans="1:25" ht="12.75">
      <c r="A32" s="50" t="s">
        <v>52</v>
      </c>
      <c r="B32" s="56">
        <f>B19-B20-B27</f>
        <v>4581.099999999999</v>
      </c>
      <c r="C32" s="56">
        <f>C19-C20-C27</f>
        <v>617.3</v>
      </c>
      <c r="D32" s="56">
        <f>D19-D20-D27</f>
        <v>88742.70000000001</v>
      </c>
      <c r="E32" s="48">
        <f>B32+C32+D32</f>
        <v>93941.1</v>
      </c>
      <c r="F32" s="124">
        <f>B32*D5</f>
        <v>271979.90699999995</v>
      </c>
      <c r="G32" s="124">
        <f aca="true" t="shared" si="5" ref="G32:G41">C32*F5</f>
        <v>36649.100999999995</v>
      </c>
      <c r="H32" s="124">
        <f>D32*H5</f>
        <v>5268654.099</v>
      </c>
      <c r="I32" s="107">
        <f>F32+G32+H32</f>
        <v>5577283.107000001</v>
      </c>
      <c r="K32" s="74"/>
      <c r="L32" s="74"/>
      <c r="M32" s="46"/>
      <c r="N32" s="46"/>
      <c r="O32" s="74"/>
      <c r="P32" s="46"/>
      <c r="R32" s="47"/>
      <c r="Y32" s="10"/>
    </row>
    <row r="33" spans="1:25" ht="12.75">
      <c r="A33" s="50" t="s">
        <v>55</v>
      </c>
      <c r="B33" s="56">
        <f>B20-B21-B22</f>
        <v>1543.7</v>
      </c>
      <c r="C33" s="56">
        <f>C20-C21-C22</f>
        <v>189.50000000000006</v>
      </c>
      <c r="D33" s="56">
        <f>D20-D21-D22</f>
        <v>21241.499999999996</v>
      </c>
      <c r="E33" s="48">
        <f aca="true" t="shared" si="6" ref="E33:E39">B33+C33+D33</f>
        <v>22974.699999999997</v>
      </c>
      <c r="F33" s="124">
        <f aca="true" t="shared" si="7" ref="F33:F39">B33*D6</f>
        <v>183900.981</v>
      </c>
      <c r="G33" s="124">
        <f t="shared" si="5"/>
        <v>22575.135000000006</v>
      </c>
      <c r="H33" s="124">
        <f>D33*H6</f>
        <v>2530499.8949999996</v>
      </c>
      <c r="I33" s="107">
        <f aca="true" t="shared" si="8" ref="I33:I40">F33+G33+H33</f>
        <v>2736976.0109999995</v>
      </c>
      <c r="K33" s="74"/>
      <c r="L33" s="74"/>
      <c r="M33" s="46"/>
      <c r="N33" s="46"/>
      <c r="O33" s="74"/>
      <c r="P33" s="46"/>
      <c r="R33" s="47"/>
      <c r="Y33" s="10"/>
    </row>
    <row r="34" spans="1:25" ht="12.75">
      <c r="A34" s="50" t="s">
        <v>54</v>
      </c>
      <c r="B34" s="56">
        <f>B21-B23-B25</f>
        <v>898.1</v>
      </c>
      <c r="C34" s="56">
        <f>C21-C23-C25</f>
        <v>369</v>
      </c>
      <c r="D34" s="56">
        <f>D21-D23-D25</f>
        <v>22210.000000000004</v>
      </c>
      <c r="E34" s="48">
        <f t="shared" si="6"/>
        <v>23477.100000000002</v>
      </c>
      <c r="F34" s="124">
        <f t="shared" si="7"/>
        <v>106990.653</v>
      </c>
      <c r="G34" s="124">
        <f t="shared" si="5"/>
        <v>43958.97</v>
      </c>
      <c r="H34" s="124">
        <f aca="true" t="shared" si="9" ref="H34:H40">D34*H7</f>
        <v>2645877.3000000003</v>
      </c>
      <c r="I34" s="107">
        <f t="shared" si="8"/>
        <v>2796826.9230000004</v>
      </c>
      <c r="K34" s="74"/>
      <c r="L34" s="74"/>
      <c r="M34" s="46"/>
      <c r="N34" s="46"/>
      <c r="O34" s="74"/>
      <c r="P34" s="46"/>
      <c r="R34" s="47"/>
      <c r="Y34" s="10"/>
    </row>
    <row r="35" spans="1:25" ht="12.75">
      <c r="A35" s="50" t="s">
        <v>53</v>
      </c>
      <c r="B35" s="56">
        <f>B22-B26</f>
        <v>883.3</v>
      </c>
      <c r="C35" s="56">
        <f>C22-C26</f>
        <v>52.30000000000001</v>
      </c>
      <c r="D35" s="56">
        <f>D22-D26</f>
        <v>5020.7</v>
      </c>
      <c r="E35" s="48">
        <f t="shared" si="6"/>
        <v>5956.299999999999</v>
      </c>
      <c r="F35" s="124">
        <f t="shared" si="7"/>
        <v>105227.529</v>
      </c>
      <c r="G35" s="124">
        <f t="shared" si="5"/>
        <v>6230.499000000001</v>
      </c>
      <c r="H35" s="124">
        <f t="shared" si="9"/>
        <v>598115.9909999999</v>
      </c>
      <c r="I35" s="107">
        <f t="shared" si="8"/>
        <v>709574.0189999999</v>
      </c>
      <c r="K35" s="74"/>
      <c r="L35" s="74"/>
      <c r="M35" s="46"/>
      <c r="N35" s="46"/>
      <c r="O35" s="74"/>
      <c r="P35" s="46"/>
      <c r="R35" s="47"/>
      <c r="Y35" s="10"/>
    </row>
    <row r="36" spans="1:25" ht="12.75">
      <c r="A36" s="50" t="s">
        <v>45</v>
      </c>
      <c r="B36" s="56">
        <f>B23-B24</f>
        <v>339.09999999999997</v>
      </c>
      <c r="C36" s="56">
        <f>C23-C24</f>
        <v>46.5</v>
      </c>
      <c r="D36" s="56">
        <f>D23-D24</f>
        <v>2210.8999999999996</v>
      </c>
      <c r="E36" s="48">
        <f t="shared" si="6"/>
        <v>2596.4999999999995</v>
      </c>
      <c r="F36" s="124">
        <f t="shared" si="7"/>
        <v>74262.9</v>
      </c>
      <c r="G36" s="124">
        <f t="shared" si="5"/>
        <v>10183.5</v>
      </c>
      <c r="H36" s="124">
        <f t="shared" si="9"/>
        <v>484187.0999999999</v>
      </c>
      <c r="I36" s="107">
        <f t="shared" si="8"/>
        <v>568633.4999999999</v>
      </c>
      <c r="K36" s="74"/>
      <c r="L36" s="74"/>
      <c r="M36" s="46"/>
      <c r="N36" s="46"/>
      <c r="O36" s="74"/>
      <c r="P36" s="46"/>
      <c r="R36" s="47"/>
      <c r="Y36" s="10"/>
    </row>
    <row r="37" spans="1:25" ht="12.75">
      <c r="A37" s="50" t="s">
        <v>42</v>
      </c>
      <c r="B37" s="56">
        <f>B24</f>
        <v>211.3</v>
      </c>
      <c r="C37" s="56">
        <f aca="true" t="shared" si="10" ref="C37:D41">C24</f>
        <v>15.3</v>
      </c>
      <c r="D37" s="56">
        <f t="shared" si="10"/>
        <v>3475.5</v>
      </c>
      <c r="E37" s="48">
        <f t="shared" si="6"/>
        <v>3702.1</v>
      </c>
      <c r="F37" s="124">
        <f t="shared" si="7"/>
        <v>46274.700000000004</v>
      </c>
      <c r="G37" s="124">
        <f t="shared" si="5"/>
        <v>3350.7000000000003</v>
      </c>
      <c r="H37" s="124">
        <f t="shared" si="9"/>
        <v>761134.5</v>
      </c>
      <c r="I37" s="107">
        <f t="shared" si="8"/>
        <v>810759.9</v>
      </c>
      <c r="K37" s="74"/>
      <c r="L37" s="74"/>
      <c r="M37" s="46"/>
      <c r="N37" s="46"/>
      <c r="O37" s="74"/>
      <c r="P37" s="46"/>
      <c r="R37" s="47"/>
      <c r="Y37" s="10"/>
    </row>
    <row r="38" spans="1:25" ht="12.75">
      <c r="A38" s="50" t="s">
        <v>43</v>
      </c>
      <c r="B38" s="56">
        <f>B25</f>
        <v>98.8</v>
      </c>
      <c r="C38" s="56">
        <f t="shared" si="10"/>
        <v>6.9</v>
      </c>
      <c r="D38" s="56">
        <f t="shared" si="10"/>
        <v>1640.3</v>
      </c>
      <c r="E38" s="48">
        <f t="shared" si="6"/>
        <v>1746</v>
      </c>
      <c r="F38" s="124">
        <f t="shared" si="7"/>
        <v>11770.044</v>
      </c>
      <c r="G38" s="124">
        <f t="shared" si="5"/>
        <v>821.997</v>
      </c>
      <c r="H38" s="124">
        <f t="shared" si="9"/>
        <v>195408.93899999998</v>
      </c>
      <c r="I38" s="107">
        <f t="shared" si="8"/>
        <v>208000.97999999998</v>
      </c>
      <c r="K38" s="74"/>
      <c r="L38" s="74"/>
      <c r="M38" s="46"/>
      <c r="N38" s="46"/>
      <c r="O38" s="74"/>
      <c r="P38" s="46"/>
      <c r="R38" s="47"/>
      <c r="Y38" s="10"/>
    </row>
    <row r="39" spans="1:25" ht="12.75">
      <c r="A39" s="50" t="s">
        <v>15</v>
      </c>
      <c r="B39" s="56">
        <f>B26</f>
        <v>290</v>
      </c>
      <c r="C39" s="56">
        <f t="shared" si="10"/>
        <v>373.9</v>
      </c>
      <c r="D39" s="56">
        <f t="shared" si="10"/>
        <v>5429.8</v>
      </c>
      <c r="E39" s="48">
        <f t="shared" si="6"/>
        <v>6093.7</v>
      </c>
      <c r="F39" s="124">
        <f t="shared" si="7"/>
        <v>34547.7</v>
      </c>
      <c r="G39" s="124">
        <f t="shared" si="5"/>
        <v>44542.706999999995</v>
      </c>
      <c r="H39" s="124">
        <f t="shared" si="9"/>
        <v>646852.074</v>
      </c>
      <c r="I39" s="107">
        <f t="shared" si="8"/>
        <v>725942.481</v>
      </c>
      <c r="K39" s="74"/>
      <c r="L39" s="74"/>
      <c r="M39" s="46"/>
      <c r="N39" s="46"/>
      <c r="O39" s="74"/>
      <c r="P39" s="46"/>
      <c r="R39" s="47"/>
      <c r="Y39" s="10"/>
    </row>
    <row r="40" spans="1:25" ht="12.75">
      <c r="A40" s="50" t="s">
        <v>182</v>
      </c>
      <c r="B40" s="56">
        <f>B27-B28</f>
        <v>638.7</v>
      </c>
      <c r="C40" s="56">
        <f>C27-C28</f>
        <v>696</v>
      </c>
      <c r="D40" s="56">
        <f>D27-D28</f>
        <v>4487.5</v>
      </c>
      <c r="E40" s="48">
        <f>B40+C40+D40</f>
        <v>5822.2</v>
      </c>
      <c r="F40" s="124">
        <f>B40*D13</f>
        <v>60325.215</v>
      </c>
      <c r="G40" s="124">
        <f t="shared" si="5"/>
        <v>79504.07999999999</v>
      </c>
      <c r="H40" s="124">
        <f t="shared" si="9"/>
        <v>512607.12499999994</v>
      </c>
      <c r="I40" s="107">
        <f t="shared" si="8"/>
        <v>652436.4199999999</v>
      </c>
      <c r="K40" s="74"/>
      <c r="L40" s="74"/>
      <c r="M40" s="46"/>
      <c r="N40" s="46"/>
      <c r="O40" s="74"/>
      <c r="P40" s="46"/>
      <c r="R40" s="47"/>
      <c r="Y40" s="10"/>
    </row>
    <row r="41" spans="1:25" ht="12.75">
      <c r="A41" s="127" t="s">
        <v>181</v>
      </c>
      <c r="B41" s="56">
        <f>B28</f>
        <v>365.4</v>
      </c>
      <c r="C41" s="56">
        <f t="shared" si="10"/>
        <v>103.3</v>
      </c>
      <c r="D41" s="56">
        <f t="shared" si="10"/>
        <v>2381.3</v>
      </c>
      <c r="E41" s="48">
        <f>B41+C41+D41</f>
        <v>2850</v>
      </c>
      <c r="F41" s="124">
        <f>B41*D14</f>
        <v>34512.02999999999</v>
      </c>
      <c r="G41" s="124">
        <f t="shared" si="5"/>
        <v>11799.958999999999</v>
      </c>
      <c r="H41" s="124">
        <f>D41*H14</f>
        <v>272015.899</v>
      </c>
      <c r="I41" s="107">
        <f>F41+G41+H41</f>
        <v>318327.888</v>
      </c>
      <c r="K41" s="74"/>
      <c r="L41" s="74"/>
      <c r="M41" s="46"/>
      <c r="N41" s="46"/>
      <c r="O41" s="74"/>
      <c r="P41" s="46"/>
      <c r="R41" s="47"/>
      <c r="Y41" s="10"/>
    </row>
    <row r="42" spans="1:25" ht="13.5" thickBot="1">
      <c r="A42" s="290" t="s">
        <v>56</v>
      </c>
      <c r="B42" s="344">
        <f aca="true" t="shared" si="11" ref="B42:I42">SUM(B32:B41)</f>
        <v>9849.499999999998</v>
      </c>
      <c r="C42" s="344">
        <f t="shared" si="11"/>
        <v>2470</v>
      </c>
      <c r="D42" s="344">
        <f t="shared" si="11"/>
        <v>156840.19999999998</v>
      </c>
      <c r="E42" s="342">
        <f t="shared" si="11"/>
        <v>169159.7</v>
      </c>
      <c r="F42" s="291">
        <f t="shared" si="11"/>
        <v>929791.6589999999</v>
      </c>
      <c r="G42" s="291">
        <f t="shared" si="11"/>
        <v>259616.648</v>
      </c>
      <c r="H42" s="291">
        <f t="shared" si="11"/>
        <v>13915352.921999998</v>
      </c>
      <c r="I42" s="341">
        <f t="shared" si="11"/>
        <v>15104761.229000002</v>
      </c>
      <c r="J42" s="181" t="s">
        <v>24</v>
      </c>
      <c r="K42" s="74"/>
      <c r="L42" s="74"/>
      <c r="M42" s="46"/>
      <c r="N42" s="46"/>
      <c r="O42" s="74"/>
      <c r="P42" s="46"/>
      <c r="R42" s="47"/>
      <c r="Y42" s="10"/>
    </row>
    <row r="43" spans="1:25" ht="13.5" thickBot="1">
      <c r="A43" s="10"/>
      <c r="B43" s="18"/>
      <c r="C43" s="18"/>
      <c r="D43" s="18"/>
      <c r="E43" s="69"/>
      <c r="F43" s="34"/>
      <c r="G43" s="34"/>
      <c r="H43" s="34"/>
      <c r="I43" s="9"/>
      <c r="J43" s="18"/>
      <c r="K43" s="34"/>
      <c r="L43" s="18"/>
      <c r="M43" s="18"/>
      <c r="N43" s="18"/>
      <c r="O43" s="15"/>
      <c r="P43" s="15"/>
      <c r="Q43" s="15"/>
      <c r="R43" s="47"/>
      <c r="Y43" s="10"/>
    </row>
    <row r="44" spans="1:25" ht="15.75" thickBot="1">
      <c r="A44" s="110" t="s">
        <v>106</v>
      </c>
      <c r="B44" s="18"/>
      <c r="C44" s="18"/>
      <c r="D44" s="18"/>
      <c r="E44" s="69"/>
      <c r="F44" s="34"/>
      <c r="G44" s="34"/>
      <c r="H44" s="34"/>
      <c r="I44" s="9"/>
      <c r="J44" s="18"/>
      <c r="K44" s="34"/>
      <c r="L44" s="18"/>
      <c r="M44" s="18"/>
      <c r="N44" s="18"/>
      <c r="O44" s="15"/>
      <c r="P44" s="15"/>
      <c r="Q44" s="15"/>
      <c r="R44" s="47"/>
      <c r="Y44" s="10"/>
    </row>
    <row r="45" spans="1:25" ht="76.5">
      <c r="A45" s="138" t="s">
        <v>3</v>
      </c>
      <c r="B45" s="139" t="s">
        <v>127</v>
      </c>
      <c r="C45" s="139" t="s">
        <v>110</v>
      </c>
      <c r="D45" s="141" t="s">
        <v>197</v>
      </c>
      <c r="E45" s="141" t="s">
        <v>196</v>
      </c>
      <c r="F45" s="141" t="s">
        <v>195</v>
      </c>
      <c r="G45" s="141" t="s">
        <v>75</v>
      </c>
      <c r="H45" s="141" t="s">
        <v>74</v>
      </c>
      <c r="I45" s="142" t="s">
        <v>193</v>
      </c>
      <c r="J45" s="143" t="s">
        <v>194</v>
      </c>
      <c r="K45" s="34"/>
      <c r="L45" s="18"/>
      <c r="M45" s="18"/>
      <c r="N45" s="18"/>
      <c r="O45" s="15"/>
      <c r="P45" s="15"/>
      <c r="Q45" s="15"/>
      <c r="R45" s="47"/>
      <c r="Y45" s="10"/>
    </row>
    <row r="46" spans="1:25" ht="12.75">
      <c r="A46" s="50" t="s">
        <v>52</v>
      </c>
      <c r="B46" s="56">
        <f>F19-F20-F27</f>
        <v>0</v>
      </c>
      <c r="C46" s="56">
        <f>G19-G20-G27</f>
        <v>0</v>
      </c>
      <c r="D46" s="56">
        <f>H19-H20-H27</f>
        <v>0</v>
      </c>
      <c r="E46" s="48">
        <f>B46+C46+D46</f>
        <v>0</v>
      </c>
      <c r="F46" s="44">
        <f aca="true" t="shared" si="12" ref="F46:F55">B46*D5</f>
        <v>0</v>
      </c>
      <c r="G46" s="44">
        <f aca="true" t="shared" si="13" ref="G46:G55">C46*F5</f>
        <v>0</v>
      </c>
      <c r="H46" s="44">
        <f aca="true" t="shared" si="14" ref="H46:H55">D46*H5</f>
        <v>0</v>
      </c>
      <c r="I46" s="44">
        <v>0</v>
      </c>
      <c r="J46" s="107">
        <f aca="true" t="shared" si="15" ref="J46:J54">F46+G46+H46+I46</f>
        <v>0</v>
      </c>
      <c r="K46" s="34"/>
      <c r="L46" s="18"/>
      <c r="M46" s="18"/>
      <c r="N46" s="18"/>
      <c r="O46" s="15"/>
      <c r="P46" s="15"/>
      <c r="Q46" s="15"/>
      <c r="R46" s="47"/>
      <c r="Y46" s="10"/>
    </row>
    <row r="47" spans="1:25" ht="12.75">
      <c r="A47" s="50" t="s">
        <v>55</v>
      </c>
      <c r="B47" s="56">
        <f>F20-F21-F22</f>
        <v>0</v>
      </c>
      <c r="C47" s="56">
        <f>G20-G21-G22</f>
        <v>0</v>
      </c>
      <c r="D47" s="56">
        <f>H20-H21-H22</f>
        <v>0</v>
      </c>
      <c r="E47" s="48">
        <f aca="true" t="shared" si="16" ref="E47:E53">B47+C47+D47</f>
        <v>0</v>
      </c>
      <c r="F47" s="44">
        <f t="shared" si="12"/>
        <v>0</v>
      </c>
      <c r="G47" s="44">
        <f t="shared" si="13"/>
        <v>0</v>
      </c>
      <c r="H47" s="44">
        <f t="shared" si="14"/>
        <v>0</v>
      </c>
      <c r="I47" s="44">
        <v>0</v>
      </c>
      <c r="J47" s="107">
        <f t="shared" si="15"/>
        <v>0</v>
      </c>
      <c r="K47" s="34"/>
      <c r="L47" s="18"/>
      <c r="M47" s="18"/>
      <c r="N47" s="18"/>
      <c r="O47" s="15"/>
      <c r="P47" s="15"/>
      <c r="Q47" s="15"/>
      <c r="R47" s="47"/>
      <c r="Y47" s="10"/>
    </row>
    <row r="48" spans="1:25" ht="12.75">
      <c r="A48" s="50" t="s">
        <v>54</v>
      </c>
      <c r="B48" s="56">
        <f>F21-F23-F25</f>
        <v>0</v>
      </c>
      <c r="C48" s="56">
        <f>G21-G23-G25</f>
        <v>0</v>
      </c>
      <c r="D48" s="56">
        <f>H21-H23-H25</f>
        <v>0</v>
      </c>
      <c r="E48" s="48">
        <f t="shared" si="16"/>
        <v>0</v>
      </c>
      <c r="F48" s="44">
        <f t="shared" si="12"/>
        <v>0</v>
      </c>
      <c r="G48" s="44">
        <f t="shared" si="13"/>
        <v>0</v>
      </c>
      <c r="H48" s="44">
        <f t="shared" si="14"/>
        <v>0</v>
      </c>
      <c r="I48" s="44">
        <v>0</v>
      </c>
      <c r="J48" s="107">
        <f t="shared" si="15"/>
        <v>0</v>
      </c>
      <c r="K48" s="34"/>
      <c r="L48" s="18"/>
      <c r="M48" s="18"/>
      <c r="N48" s="18"/>
      <c r="O48" s="15"/>
      <c r="P48" s="15"/>
      <c r="Q48" s="15"/>
      <c r="R48" s="47"/>
      <c r="Y48" s="10"/>
    </row>
    <row r="49" spans="1:25" ht="12.75">
      <c r="A49" s="50" t="s">
        <v>53</v>
      </c>
      <c r="B49" s="56">
        <f>F22-F26</f>
        <v>0</v>
      </c>
      <c r="C49" s="56">
        <f>G22-G26</f>
        <v>0</v>
      </c>
      <c r="D49" s="56">
        <f>H22-H26</f>
        <v>0</v>
      </c>
      <c r="E49" s="48">
        <f t="shared" si="16"/>
        <v>0</v>
      </c>
      <c r="F49" s="44">
        <f t="shared" si="12"/>
        <v>0</v>
      </c>
      <c r="G49" s="44">
        <f t="shared" si="13"/>
        <v>0</v>
      </c>
      <c r="H49" s="44">
        <f t="shared" si="14"/>
        <v>0</v>
      </c>
      <c r="I49" s="44">
        <v>0</v>
      </c>
      <c r="J49" s="107">
        <f t="shared" si="15"/>
        <v>0</v>
      </c>
      <c r="K49" s="34"/>
      <c r="L49" s="18"/>
      <c r="M49" s="18"/>
      <c r="N49" s="18"/>
      <c r="O49" s="15"/>
      <c r="P49" s="15"/>
      <c r="Q49" s="15"/>
      <c r="R49" s="47"/>
      <c r="Y49" s="10"/>
    </row>
    <row r="50" spans="1:25" ht="12.75">
      <c r="A50" s="50" t="s">
        <v>45</v>
      </c>
      <c r="B50" s="56">
        <f>F23-F24</f>
        <v>0</v>
      </c>
      <c r="C50" s="56">
        <f>G23-G24</f>
        <v>0</v>
      </c>
      <c r="D50" s="56">
        <f>H23-H24</f>
        <v>0</v>
      </c>
      <c r="E50" s="48">
        <f t="shared" si="16"/>
        <v>0</v>
      </c>
      <c r="F50" s="44">
        <f t="shared" si="12"/>
        <v>0</v>
      </c>
      <c r="G50" s="44">
        <f t="shared" si="13"/>
        <v>0</v>
      </c>
      <c r="H50" s="44">
        <f t="shared" si="14"/>
        <v>0</v>
      </c>
      <c r="I50" s="44">
        <v>0</v>
      </c>
      <c r="J50" s="107">
        <f t="shared" si="15"/>
        <v>0</v>
      </c>
      <c r="K50" s="34"/>
      <c r="L50" s="18"/>
      <c r="M50" s="18"/>
      <c r="N50" s="18"/>
      <c r="O50" s="15"/>
      <c r="P50" s="15"/>
      <c r="Q50" s="15"/>
      <c r="R50" s="47"/>
      <c r="Y50" s="10"/>
    </row>
    <row r="51" spans="1:25" ht="12.75">
      <c r="A51" s="50" t="s">
        <v>42</v>
      </c>
      <c r="B51" s="56">
        <f>F24</f>
        <v>0</v>
      </c>
      <c r="C51" s="56">
        <f aca="true" t="shared" si="17" ref="C51:D53">G24</f>
        <v>0</v>
      </c>
      <c r="D51" s="56">
        <f t="shared" si="17"/>
        <v>0</v>
      </c>
      <c r="E51" s="48">
        <f t="shared" si="16"/>
        <v>0</v>
      </c>
      <c r="F51" s="44">
        <f t="shared" si="12"/>
        <v>0</v>
      </c>
      <c r="G51" s="44">
        <f t="shared" si="13"/>
        <v>0</v>
      </c>
      <c r="H51" s="44">
        <f t="shared" si="14"/>
        <v>0</v>
      </c>
      <c r="I51" s="44">
        <v>0</v>
      </c>
      <c r="J51" s="107">
        <f t="shared" si="15"/>
        <v>0</v>
      </c>
      <c r="K51" s="34"/>
      <c r="L51" s="18"/>
      <c r="M51" s="18"/>
      <c r="N51" s="18"/>
      <c r="O51" s="15"/>
      <c r="P51" s="15"/>
      <c r="Q51" s="15"/>
      <c r="R51" s="47"/>
      <c r="Y51" s="10"/>
    </row>
    <row r="52" spans="1:25" ht="12.75">
      <c r="A52" s="50" t="s">
        <v>43</v>
      </c>
      <c r="B52" s="56">
        <f>F25</f>
        <v>0</v>
      </c>
      <c r="C52" s="56">
        <f t="shared" si="17"/>
        <v>0</v>
      </c>
      <c r="D52" s="56">
        <f t="shared" si="17"/>
        <v>0</v>
      </c>
      <c r="E52" s="48">
        <f t="shared" si="16"/>
        <v>0</v>
      </c>
      <c r="F52" s="44">
        <f t="shared" si="12"/>
        <v>0</v>
      </c>
      <c r="G52" s="44">
        <f t="shared" si="13"/>
        <v>0</v>
      </c>
      <c r="H52" s="44">
        <f t="shared" si="14"/>
        <v>0</v>
      </c>
      <c r="I52" s="44">
        <v>0</v>
      </c>
      <c r="J52" s="107">
        <f t="shared" si="15"/>
        <v>0</v>
      </c>
      <c r="K52" s="34"/>
      <c r="L52" s="18"/>
      <c r="M52" s="18"/>
      <c r="N52" s="18"/>
      <c r="O52" s="15"/>
      <c r="P52" s="15"/>
      <c r="Q52" s="15"/>
      <c r="R52" s="47"/>
      <c r="Y52" s="10"/>
    </row>
    <row r="53" spans="1:25" ht="12.75">
      <c r="A53" s="50" t="s">
        <v>15</v>
      </c>
      <c r="B53" s="56">
        <f>F26</f>
        <v>0</v>
      </c>
      <c r="C53" s="56">
        <f t="shared" si="17"/>
        <v>0</v>
      </c>
      <c r="D53" s="56">
        <f t="shared" si="17"/>
        <v>0</v>
      </c>
      <c r="E53" s="48">
        <f t="shared" si="16"/>
        <v>0</v>
      </c>
      <c r="F53" s="44">
        <f t="shared" si="12"/>
        <v>0</v>
      </c>
      <c r="G53" s="44">
        <f t="shared" si="13"/>
        <v>0</v>
      </c>
      <c r="H53" s="44">
        <f t="shared" si="14"/>
        <v>0</v>
      </c>
      <c r="I53" s="44">
        <v>0</v>
      </c>
      <c r="J53" s="107">
        <f t="shared" si="15"/>
        <v>0</v>
      </c>
      <c r="K53" s="34"/>
      <c r="L53" s="18"/>
      <c r="M53" s="18"/>
      <c r="N53" s="18"/>
      <c r="O53" s="15"/>
      <c r="P53" s="15"/>
      <c r="Q53" s="15"/>
      <c r="R53" s="47"/>
      <c r="Y53" s="10"/>
    </row>
    <row r="54" spans="1:25" ht="12.75">
      <c r="A54" s="50" t="s">
        <v>182</v>
      </c>
      <c r="B54" s="56">
        <f>F27-F28</f>
        <v>0</v>
      </c>
      <c r="C54" s="56">
        <f>G27-G28</f>
        <v>0</v>
      </c>
      <c r="D54" s="56">
        <f>H27-H28</f>
        <v>0</v>
      </c>
      <c r="E54" s="48">
        <f>B54+C54+D54</f>
        <v>0</v>
      </c>
      <c r="F54" s="44">
        <f t="shared" si="12"/>
        <v>0</v>
      </c>
      <c r="G54" s="44">
        <f t="shared" si="13"/>
        <v>0</v>
      </c>
      <c r="H54" s="44">
        <f t="shared" si="14"/>
        <v>0</v>
      </c>
      <c r="I54" s="44">
        <v>0</v>
      </c>
      <c r="J54" s="107">
        <f t="shared" si="15"/>
        <v>0</v>
      </c>
      <c r="K54" s="34"/>
      <c r="L54" s="18"/>
      <c r="M54" s="18"/>
      <c r="N54" s="18"/>
      <c r="O54" s="15"/>
      <c r="P54" s="15"/>
      <c r="Q54" s="15"/>
      <c r="R54" s="47"/>
      <c r="Y54" s="10"/>
    </row>
    <row r="55" spans="1:25" ht="12.75">
      <c r="A55" s="50" t="s">
        <v>181</v>
      </c>
      <c r="B55" s="56">
        <f>F28</f>
        <v>0</v>
      </c>
      <c r="C55" s="56">
        <f>G28</f>
        <v>0</v>
      </c>
      <c r="D55" s="56">
        <f>H28</f>
        <v>0</v>
      </c>
      <c r="E55" s="48">
        <f>B55+C55+D55</f>
        <v>0</v>
      </c>
      <c r="F55" s="44">
        <f t="shared" si="12"/>
        <v>0</v>
      </c>
      <c r="G55" s="44">
        <f t="shared" si="13"/>
        <v>0</v>
      </c>
      <c r="H55" s="44">
        <f t="shared" si="14"/>
        <v>0</v>
      </c>
      <c r="I55" s="44">
        <v>0</v>
      </c>
      <c r="J55" s="107">
        <f>F55+G55+H55+I55</f>
        <v>0</v>
      </c>
      <c r="K55" s="34"/>
      <c r="L55" s="18"/>
      <c r="M55" s="18"/>
      <c r="N55" s="18"/>
      <c r="O55" s="15"/>
      <c r="P55" s="15"/>
      <c r="Q55" s="15"/>
      <c r="R55" s="47"/>
      <c r="Y55" s="10"/>
    </row>
    <row r="56" spans="1:25" ht="13.5" thickBot="1">
      <c r="A56" s="51" t="s">
        <v>56</v>
      </c>
      <c r="B56" s="108">
        <f>SUM(B46:B55)</f>
        <v>0</v>
      </c>
      <c r="C56" s="108">
        <f>SUM(C46:C55)</f>
        <v>0</v>
      </c>
      <c r="D56" s="108">
        <f>SUM(D46:D55)</f>
        <v>0</v>
      </c>
      <c r="E56" s="64">
        <f>B56+C56+D56</f>
        <v>0</v>
      </c>
      <c r="F56" s="158">
        <f>SUM(F46:F55)</f>
        <v>0</v>
      </c>
      <c r="G56" s="158">
        <f>SUM(G46:G55)</f>
        <v>0</v>
      </c>
      <c r="H56" s="158">
        <f>SUM(H46:H55)</f>
        <v>0</v>
      </c>
      <c r="I56" s="158">
        <v>0</v>
      </c>
      <c r="J56" s="109">
        <f>SUM(J46:J55)</f>
        <v>0</v>
      </c>
      <c r="K56" s="34"/>
      <c r="L56" s="18"/>
      <c r="M56" s="18"/>
      <c r="N56" s="18"/>
      <c r="O56" s="15"/>
      <c r="P56" s="15"/>
      <c r="Q56" s="15"/>
      <c r="R56" s="47"/>
      <c r="Y56" s="10"/>
    </row>
    <row r="57" spans="1:25" ht="13.5" thickBot="1">
      <c r="A57" s="10"/>
      <c r="B57" s="18"/>
      <c r="C57" s="18"/>
      <c r="D57" s="18"/>
      <c r="E57" s="69"/>
      <c r="F57" s="34"/>
      <c r="G57" s="34"/>
      <c r="H57" s="34"/>
      <c r="I57" s="9"/>
      <c r="J57" s="18"/>
      <c r="K57" s="34"/>
      <c r="L57" s="18"/>
      <c r="M57" s="18"/>
      <c r="N57" s="18"/>
      <c r="O57" s="15"/>
      <c r="P57" s="15"/>
      <c r="Q57" s="15"/>
      <c r="R57" s="47"/>
      <c r="Y57" s="10"/>
    </row>
    <row r="58" ht="15.75" thickBot="1">
      <c r="A58" s="129" t="s">
        <v>81</v>
      </c>
    </row>
    <row r="59" spans="1:4" ht="79.5" customHeight="1">
      <c r="A59" s="88" t="s">
        <v>82</v>
      </c>
      <c r="B59" s="90" t="s">
        <v>83</v>
      </c>
      <c r="C59" s="90" t="s">
        <v>130</v>
      </c>
      <c r="D59" s="91" t="s">
        <v>84</v>
      </c>
    </row>
    <row r="60" spans="1:4" ht="12.75">
      <c r="A60" s="50" t="s">
        <v>30</v>
      </c>
      <c r="B60" s="43">
        <v>0</v>
      </c>
      <c r="C60" s="124">
        <f>C6</f>
        <v>59.76</v>
      </c>
      <c r="D60" s="107">
        <f>B60*C60</f>
        <v>0</v>
      </c>
    </row>
    <row r="61" spans="1:4" ht="12.75">
      <c r="A61" s="50" t="s">
        <v>41</v>
      </c>
      <c r="B61" s="43">
        <v>0</v>
      </c>
      <c r="C61" s="124">
        <f aca="true" t="shared" si="18" ref="C61:C68">C7</f>
        <v>0</v>
      </c>
      <c r="D61" s="107">
        <f aca="true" t="shared" si="19" ref="D61:D66">B61*C61</f>
        <v>0</v>
      </c>
    </row>
    <row r="62" spans="1:4" ht="12.75">
      <c r="A62" s="50" t="s">
        <v>5</v>
      </c>
      <c r="B62" s="43">
        <v>0</v>
      </c>
      <c r="C62" s="124">
        <f t="shared" si="18"/>
        <v>0</v>
      </c>
      <c r="D62" s="107">
        <f t="shared" si="19"/>
        <v>0</v>
      </c>
    </row>
    <row r="63" spans="1:6" ht="12.75">
      <c r="A63" s="50" t="s">
        <v>8</v>
      </c>
      <c r="B63" s="43">
        <v>0</v>
      </c>
      <c r="C63" s="124">
        <f t="shared" si="18"/>
        <v>99.87</v>
      </c>
      <c r="D63" s="107">
        <f t="shared" si="19"/>
        <v>0</v>
      </c>
      <c r="F63" s="6" t="s">
        <v>24</v>
      </c>
    </row>
    <row r="64" spans="1:4" ht="12.75">
      <c r="A64" s="50" t="s">
        <v>42</v>
      </c>
      <c r="B64" s="43">
        <v>0</v>
      </c>
      <c r="C64" s="124">
        <f t="shared" si="18"/>
        <v>0</v>
      </c>
      <c r="D64" s="107">
        <f t="shared" si="19"/>
        <v>0</v>
      </c>
    </row>
    <row r="65" spans="1:4" ht="12.75">
      <c r="A65" s="50" t="s">
        <v>43</v>
      </c>
      <c r="B65" s="43">
        <v>0</v>
      </c>
      <c r="C65" s="124">
        <f t="shared" si="18"/>
        <v>0</v>
      </c>
      <c r="D65" s="107">
        <f t="shared" si="19"/>
        <v>0</v>
      </c>
    </row>
    <row r="66" spans="1:4" ht="12.75">
      <c r="A66" s="127" t="s">
        <v>15</v>
      </c>
      <c r="B66" s="43">
        <v>0</v>
      </c>
      <c r="C66" s="124">
        <f t="shared" si="18"/>
        <v>0</v>
      </c>
      <c r="D66" s="107">
        <f t="shared" si="19"/>
        <v>0</v>
      </c>
    </row>
    <row r="67" spans="1:4" ht="12.75">
      <c r="A67" s="127" t="s">
        <v>51</v>
      </c>
      <c r="B67" s="43">
        <v>0</v>
      </c>
      <c r="C67" s="124">
        <f t="shared" si="18"/>
        <v>35.08</v>
      </c>
      <c r="D67" s="107">
        <f>B67*C67</f>
        <v>0</v>
      </c>
    </row>
    <row r="68" spans="1:4" ht="12.75">
      <c r="A68" s="127" t="s">
        <v>181</v>
      </c>
      <c r="B68" s="43">
        <v>0</v>
      </c>
      <c r="C68" s="124">
        <f t="shared" si="18"/>
        <v>0</v>
      </c>
      <c r="D68" s="107">
        <f>B68*C68</f>
        <v>0</v>
      </c>
    </row>
    <row r="69" spans="1:4" ht="13.5" thickBot="1">
      <c r="A69" s="104" t="s">
        <v>56</v>
      </c>
      <c r="B69" s="128" t="s">
        <v>24</v>
      </c>
      <c r="C69" s="128"/>
      <c r="D69" s="109">
        <f>SUM(D60:D67)</f>
        <v>0</v>
      </c>
    </row>
    <row r="70" ht="12.75">
      <c r="A70" s="12" t="s">
        <v>131</v>
      </c>
    </row>
    <row r="71" ht="12.75">
      <c r="B71" s="6" t="s">
        <v>24</v>
      </c>
    </row>
    <row r="72" ht="12.75">
      <c r="B72" s="6" t="s">
        <v>24</v>
      </c>
    </row>
    <row r="73" ht="12.75">
      <c r="B73" s="6" t="s">
        <v>24</v>
      </c>
    </row>
  </sheetData>
  <sheetProtection/>
  <printOptions/>
  <pageMargins left="0.45" right="0.45" top="0.5" bottom="0.5" header="0" footer="0"/>
  <pageSetup fitToHeight="1" fitToWidth="1" horizontalDpi="600" verticalDpi="600" orientation="landscape" scale="44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5.8515625" style="6" customWidth="1"/>
    <col min="2" max="2" width="15.28125" style="6" bestFit="1" customWidth="1"/>
    <col min="3" max="3" width="15.7109375" style="6" customWidth="1"/>
    <col min="4" max="4" width="16.421875" style="6" customWidth="1"/>
    <col min="5" max="5" width="20.00390625" style="6" customWidth="1"/>
    <col min="6" max="6" width="18.7109375" style="6" customWidth="1"/>
    <col min="7" max="7" width="20.00390625" style="6" customWidth="1"/>
    <col min="8" max="8" width="18.421875" style="6" customWidth="1"/>
    <col min="9" max="9" width="18.140625" style="6" customWidth="1"/>
    <col min="10" max="10" width="18.421875" style="6" customWidth="1"/>
    <col min="11" max="11" width="20.00390625" style="6" customWidth="1"/>
    <col min="12" max="12" width="15.7109375" style="6" customWidth="1"/>
    <col min="13" max="16384" width="9.140625" style="6" customWidth="1"/>
  </cols>
  <sheetData>
    <row r="1" spans="1:7" ht="18.75">
      <c r="A1" s="3" t="s">
        <v>183</v>
      </c>
      <c r="E1" s="52" t="s">
        <v>24</v>
      </c>
      <c r="F1" s="52" t="s">
        <v>24</v>
      </c>
      <c r="G1" s="52" t="s">
        <v>24</v>
      </c>
    </row>
    <row r="2" ht="13.5" thickBot="1">
      <c r="A2" s="185"/>
    </row>
    <row r="3" spans="1:4" ht="19.5" thickBot="1">
      <c r="A3" s="101" t="s">
        <v>0</v>
      </c>
      <c r="D3" s="1" t="s">
        <v>24</v>
      </c>
    </row>
    <row r="4" spans="1:12" ht="12.75" customHeight="1">
      <c r="A4" s="92" t="s">
        <v>1</v>
      </c>
      <c r="B4" s="93">
        <v>0.156</v>
      </c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L4" s="23" t="s">
        <v>24</v>
      </c>
    </row>
    <row r="5" spans="1:12" ht="12.75" customHeight="1">
      <c r="A5" s="94" t="s">
        <v>2</v>
      </c>
      <c r="B5" s="95">
        <v>0.0569</v>
      </c>
      <c r="D5" s="10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 customHeight="1">
      <c r="A6" s="50" t="s">
        <v>4</v>
      </c>
      <c r="B6" s="96">
        <v>1.0902</v>
      </c>
      <c r="D6" s="10" t="s">
        <v>24</v>
      </c>
      <c r="E6" s="37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 customHeight="1">
      <c r="A7" s="50" t="s">
        <v>38</v>
      </c>
      <c r="B7" s="97">
        <v>166127.5</v>
      </c>
      <c r="D7" s="10" t="s">
        <v>24</v>
      </c>
      <c r="E7" s="14" t="s">
        <v>24</v>
      </c>
      <c r="F7" s="36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 customHeight="1">
      <c r="A8" s="50" t="s">
        <v>39</v>
      </c>
      <c r="B8" s="98">
        <v>0.025</v>
      </c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 customHeight="1">
      <c r="A9" s="50" t="s">
        <v>40</v>
      </c>
      <c r="B9" s="99">
        <f>B7*B8</f>
        <v>4153.1875</v>
      </c>
      <c r="D9" s="5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2.75" customHeight="1" thickBot="1">
      <c r="A10" s="51" t="s">
        <v>23</v>
      </c>
      <c r="B10" s="100">
        <f>'BRA Resource Clearing Results'!E19/('BRA Load Pricing Results'!G57*'BRA Load Pricing Results'!B6)</f>
        <v>1.0182520664794263</v>
      </c>
      <c r="C10" s="10" t="s">
        <v>24</v>
      </c>
      <c r="D10" s="5" t="s">
        <v>24</v>
      </c>
      <c r="E10" s="14" t="s">
        <v>24</v>
      </c>
      <c r="F10" s="36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4:12" ht="12.75">
      <c r="D11" s="12" t="s">
        <v>24</v>
      </c>
      <c r="E11" s="7"/>
      <c r="F11" s="4"/>
      <c r="G11" s="7"/>
      <c r="H11" s="28" t="s">
        <v>24</v>
      </c>
      <c r="L11" s="6" t="s">
        <v>24</v>
      </c>
    </row>
    <row r="12" spans="1:12" ht="13.5" thickBot="1">
      <c r="A12" s="12"/>
      <c r="B12" s="34"/>
      <c r="C12" s="34"/>
      <c r="D12" s="34"/>
      <c r="E12" s="35"/>
      <c r="F12" s="25"/>
      <c r="G12" s="25"/>
      <c r="H12" s="25"/>
      <c r="I12" s="63"/>
      <c r="J12" s="63"/>
      <c r="K12" s="63"/>
      <c r="L12" s="47"/>
    </row>
    <row r="13" spans="1:12" ht="15.75" thickBot="1">
      <c r="A13" s="205" t="s">
        <v>68</v>
      </c>
      <c r="B13" s="34"/>
      <c r="C13" s="34"/>
      <c r="D13" s="34"/>
      <c r="E13" s="35"/>
      <c r="F13" s="25"/>
      <c r="G13" s="25"/>
      <c r="H13" s="25"/>
      <c r="I13" s="63"/>
      <c r="J13" s="63"/>
      <c r="K13" s="63"/>
      <c r="L13" s="47"/>
    </row>
    <row r="14" spans="1:12" ht="69.75" customHeight="1">
      <c r="A14" s="230" t="s">
        <v>3</v>
      </c>
      <c r="B14" s="228" t="s">
        <v>72</v>
      </c>
      <c r="C14" s="90" t="s">
        <v>73</v>
      </c>
      <c r="D14" s="90" t="s">
        <v>202</v>
      </c>
      <c r="E14" s="90" t="s">
        <v>128</v>
      </c>
      <c r="F14" s="90" t="s">
        <v>118</v>
      </c>
      <c r="G14" s="90" t="s">
        <v>129</v>
      </c>
      <c r="H14" s="90" t="s">
        <v>160</v>
      </c>
      <c r="I14" s="90" t="s">
        <v>124</v>
      </c>
      <c r="J14" s="91" t="s">
        <v>119</v>
      </c>
      <c r="K14" s="70"/>
      <c r="L14" s="71"/>
    </row>
    <row r="15" spans="1:12" ht="12.75">
      <c r="A15" s="231" t="s">
        <v>6</v>
      </c>
      <c r="B15" s="229">
        <f>K57</f>
        <v>173312.8875</v>
      </c>
      <c r="C15" s="157">
        <f>'BRA Resource Clearing Results'!B5</f>
        <v>59.37</v>
      </c>
      <c r="D15" s="157">
        <f>'BRA Resource Clearing Results'!C5</f>
        <v>0</v>
      </c>
      <c r="E15" s="152">
        <f>('BRA Resource Clearing Results'!C19+'BRA Resource Clearing Results'!D19)*'BRA Resource Clearing Results'!E5</f>
        <v>0</v>
      </c>
      <c r="F15" s="157">
        <f>E15/B15</f>
        <v>0</v>
      </c>
      <c r="G15" s="152">
        <f>'BRA Resource Clearing Results'!D19*'BRA Resource Clearing Results'!G5</f>
        <v>0</v>
      </c>
      <c r="H15" s="157">
        <f>G15/B15</f>
        <v>0</v>
      </c>
      <c r="I15" s="203">
        <f>'BRA Resource Clearing Results'!J46/'BRA Load Pricing Results'!B15</f>
        <v>0</v>
      </c>
      <c r="J15" s="206">
        <f>C15+D15+F15+H15+I15</f>
        <v>59.37</v>
      </c>
      <c r="K15" s="34"/>
      <c r="L15" s="18"/>
    </row>
    <row r="16" spans="1:12" ht="12.75">
      <c r="A16" s="231" t="s">
        <v>30</v>
      </c>
      <c r="B16" s="229">
        <f>K37+K41+K47+(SUM(K49:K56))</f>
        <v>69469.54555413498</v>
      </c>
      <c r="C16" s="157">
        <f>'BRA Resource Clearing Results'!B6</f>
        <v>59.37</v>
      </c>
      <c r="D16" s="157">
        <f>'BRA Resource Clearing Results'!C6</f>
        <v>59.76</v>
      </c>
      <c r="E16" s="152">
        <f>('BRA Resource Clearing Results'!C20+'BRA Resource Clearing Results'!D20)*('BRA Resource Clearing Results'!E6-'BRA Resource Clearing Results'!E5)</f>
        <v>0</v>
      </c>
      <c r="F16" s="157">
        <f>F15+(E16/B16)</f>
        <v>0</v>
      </c>
      <c r="G16" s="152">
        <f>'BRA Resource Clearing Results'!D20*('BRA Resource Clearing Results'!G6-'BRA Resource Clearing Results'!G5)</f>
        <v>0</v>
      </c>
      <c r="H16" s="157">
        <f>H15+(G16/B16)</f>
        <v>0</v>
      </c>
      <c r="I16" s="203">
        <f>I15+'BRA Resource Clearing Results'!J47/'BRA Load Pricing Results'!B16</f>
        <v>0</v>
      </c>
      <c r="J16" s="206">
        <f>C16+D16+F16+H16+I16</f>
        <v>119.13</v>
      </c>
      <c r="K16" s="34"/>
      <c r="L16" s="18"/>
    </row>
    <row r="17" spans="1:12" ht="12.75">
      <c r="A17" s="231" t="s">
        <v>41</v>
      </c>
      <c r="B17" s="229">
        <f>K37+K47+K49+K51+K55+K56</f>
        <v>37872.730802343496</v>
      </c>
      <c r="C17" s="157">
        <f>'BRA Resource Clearing Results'!B7</f>
        <v>59.37</v>
      </c>
      <c r="D17" s="157">
        <f>'BRA Resource Clearing Results'!C6+'BRA Resource Clearing Results'!C7</f>
        <v>59.76</v>
      </c>
      <c r="E17" s="152">
        <f>('BRA Resource Clearing Results'!C21+'BRA Resource Clearing Results'!D21)*('BRA Resource Clearing Results'!E7-'BRA Resource Clearing Results'!E6)</f>
        <v>0</v>
      </c>
      <c r="F17" s="157">
        <f>F16+(E17/B17)</f>
        <v>0</v>
      </c>
      <c r="G17" s="152">
        <f>'BRA Resource Clearing Results'!D21*('BRA Resource Clearing Results'!G7-'BRA Resource Clearing Results'!G6)</f>
        <v>0</v>
      </c>
      <c r="H17" s="157">
        <f>H16+(G17/B17)</f>
        <v>0</v>
      </c>
      <c r="I17" s="203">
        <f>I16+('BRA Resource Clearing Results'!J48/'BRA Load Pricing Results'!B17)</f>
        <v>0</v>
      </c>
      <c r="J17" s="206">
        <f>C17+D17+F17+H17+I17</f>
        <v>119.13</v>
      </c>
      <c r="K17" s="34"/>
      <c r="L17" s="18"/>
    </row>
    <row r="18" spans="1:12" ht="12.75">
      <c r="A18" s="231" t="s">
        <v>5</v>
      </c>
      <c r="B18" s="229">
        <f>K41+K53</f>
        <v>16023.03467201463</v>
      </c>
      <c r="C18" s="157">
        <f>'BRA Resource Clearing Results'!B8</f>
        <v>59.37</v>
      </c>
      <c r="D18" s="157">
        <f>'BRA Resource Clearing Results'!C6+'BRA Resource Clearing Results'!C8</f>
        <v>59.76</v>
      </c>
      <c r="E18" s="152">
        <f>('BRA Resource Clearing Results'!C22+'BRA Resource Clearing Results'!D22)*('BRA Resource Clearing Results'!E8-'BRA Resource Clearing Results'!E6)</f>
        <v>0</v>
      </c>
      <c r="F18" s="157">
        <f>F16+(E18/B18)</f>
        <v>0</v>
      </c>
      <c r="G18" s="152">
        <f>'BRA Resource Clearing Results'!D22*('BRA Resource Clearing Results'!G8-'BRA Resource Clearing Results'!G6)</f>
        <v>0</v>
      </c>
      <c r="H18" s="157">
        <f>H16+(G18/B18)</f>
        <v>0</v>
      </c>
      <c r="I18" s="203">
        <f>I16+('BRA Resource Clearing Results'!J49/'BRA Load Pricing Results'!B18)</f>
        <v>0</v>
      </c>
      <c r="J18" s="206">
        <f>C18+D18+F18+H18+I18</f>
        <v>119.13</v>
      </c>
      <c r="K18" s="34"/>
      <c r="L18" s="18"/>
    </row>
    <row r="19" spans="1:12" ht="12.75">
      <c r="A19" s="231" t="s">
        <v>15</v>
      </c>
      <c r="B19" s="229">
        <f>K53</f>
        <v>7734.003106878157</v>
      </c>
      <c r="C19" s="157">
        <f>'BRA Resource Clearing Results'!B12</f>
        <v>59.37</v>
      </c>
      <c r="D19" s="157">
        <f>'BRA Resource Clearing Results'!C6+'BRA Resource Clearing Results'!C8+'BRA Resource Clearing Results'!C12</f>
        <v>59.76</v>
      </c>
      <c r="E19" s="152">
        <f>('BRA Resource Clearing Results'!C26+'BRA Resource Clearing Results'!D26)*('BRA Resource Clearing Results'!E12-'BRA Resource Clearing Results'!E8)</f>
        <v>0</v>
      </c>
      <c r="F19" s="157">
        <f>F18+(E19/B19)</f>
        <v>0</v>
      </c>
      <c r="G19" s="152">
        <f>'BRA Resource Clearing Results'!D26*('BRA Resource Clearing Results'!G12-'BRA Resource Clearing Results'!G8)</f>
        <v>0</v>
      </c>
      <c r="H19" s="157">
        <f>H18+(G19/B19)</f>
        <v>0</v>
      </c>
      <c r="I19" s="203">
        <f>I18+('BRA Resource Clearing Results'!J53/'BRA Load Pricing Results'!B19)</f>
        <v>0</v>
      </c>
      <c r="J19" s="206">
        <f>C19+D19+F19+H19+I19</f>
        <v>119.13</v>
      </c>
      <c r="K19" s="34"/>
      <c r="L19" s="18"/>
    </row>
    <row r="20" spans="1:12" s="10" customFormat="1" ht="12.75">
      <c r="A20" s="12" t="s">
        <v>120</v>
      </c>
      <c r="B20" s="34"/>
      <c r="C20" s="18"/>
      <c r="D20" s="18"/>
      <c r="E20" s="18"/>
      <c r="F20" s="69"/>
      <c r="H20" s="34"/>
      <c r="I20" s="34"/>
      <c r="J20" s="18"/>
      <c r="K20" s="34"/>
      <c r="L20" s="15"/>
    </row>
    <row r="21" spans="1:12" s="10" customFormat="1" ht="13.5" thickBot="1">
      <c r="A21" s="12"/>
      <c r="B21" s="34"/>
      <c r="C21" s="18"/>
      <c r="D21" s="182" t="s">
        <v>24</v>
      </c>
      <c r="E21" s="182" t="s">
        <v>24</v>
      </c>
      <c r="F21" s="69"/>
      <c r="H21" s="34"/>
      <c r="I21" s="34"/>
      <c r="J21" s="18"/>
      <c r="K21" s="34"/>
      <c r="L21" s="15"/>
    </row>
    <row r="22" spans="1:11" ht="30.75" thickBot="1">
      <c r="A22" s="207" t="s">
        <v>201</v>
      </c>
      <c r="C22" s="66" t="s">
        <v>24</v>
      </c>
      <c r="E22" s="4" t="s">
        <v>24</v>
      </c>
      <c r="J22" s="38" t="s">
        <v>24</v>
      </c>
      <c r="K22" s="53" t="s">
        <v>24</v>
      </c>
    </row>
    <row r="23" spans="1:11" ht="79.5" customHeight="1" thickBot="1">
      <c r="A23" s="304" t="s">
        <v>71</v>
      </c>
      <c r="B23" s="305" t="s">
        <v>209</v>
      </c>
      <c r="C23" s="139" t="s">
        <v>101</v>
      </c>
      <c r="D23" s="139" t="s">
        <v>203</v>
      </c>
      <c r="E23" s="306" t="s">
        <v>204</v>
      </c>
      <c r="F23" s="306" t="s">
        <v>205</v>
      </c>
      <c r="G23" s="306" t="s">
        <v>206</v>
      </c>
      <c r="H23" s="306" t="s">
        <v>187</v>
      </c>
      <c r="I23" s="139" t="s">
        <v>207</v>
      </c>
      <c r="J23" s="139" t="s">
        <v>208</v>
      </c>
      <c r="K23" s="140" t="s">
        <v>34</v>
      </c>
    </row>
    <row r="24" spans="1:11" ht="12.75">
      <c r="A24" s="307" t="s">
        <v>45</v>
      </c>
      <c r="B24" s="308"/>
      <c r="C24" s="168">
        <f>'BRA Resource Clearing Results'!E36</f>
        <v>2596.4999999999995</v>
      </c>
      <c r="D24" s="309">
        <f>'BRA Resource Clearing Results'!C9</f>
        <v>99.87</v>
      </c>
      <c r="E24" s="309">
        <f>('BRA Resource Clearing Results'!C36+'BRA Resource Clearing Results'!D36)*('BRA Resource Clearing Results'!E9-'BRA Resource Clearing Results'!E7)</f>
        <v>0</v>
      </c>
      <c r="F24" s="132"/>
      <c r="G24" s="309">
        <f>'BRA Resource Clearing Results'!D36*('BRA Resource Clearing Results'!G9-'BRA Resource Clearing Results'!G7)</f>
        <v>0</v>
      </c>
      <c r="H24" s="132"/>
      <c r="I24" s="310">
        <f>'BRA Resource Clearing Results'!J50</f>
        <v>0</v>
      </c>
      <c r="J24" s="132"/>
      <c r="K24" s="133"/>
    </row>
    <row r="25" spans="1:11" ht="12.75">
      <c r="A25" s="231" t="s">
        <v>42</v>
      </c>
      <c r="B25" s="233"/>
      <c r="C25" s="56">
        <f>'BRA Resource Clearing Results'!E37</f>
        <v>3702.1</v>
      </c>
      <c r="D25" s="59">
        <f>'BRA Resource Clearing Results'!C9+'BRA Resource Clearing Results'!C10</f>
        <v>99.87</v>
      </c>
      <c r="E25" s="59">
        <f>('BRA Resource Clearing Results'!C37+'BRA Resource Clearing Results'!D37)*('BRA Resource Clearing Results'!E10-'BRA Resource Clearing Results'!E7)</f>
        <v>0</v>
      </c>
      <c r="F25" s="43"/>
      <c r="G25" s="59">
        <f>'BRA Resource Clearing Results'!D37*('BRA Resource Clearing Results'!G10-'BRA Resource Clearing Results'!G7)</f>
        <v>0</v>
      </c>
      <c r="H25" s="43"/>
      <c r="I25" s="79">
        <f>'BRA Resource Clearing Results'!J51</f>
        <v>0</v>
      </c>
      <c r="J25" s="43"/>
      <c r="K25" s="105"/>
    </row>
    <row r="26" spans="1:11" ht="12.75">
      <c r="A26" s="236" t="s">
        <v>8</v>
      </c>
      <c r="B26" s="234">
        <f>J17</f>
        <v>119.13</v>
      </c>
      <c r="C26" s="56">
        <f>C25+C24</f>
        <v>6298.599999999999</v>
      </c>
      <c r="D26" s="160">
        <f>(C25*D25+C24*D24)/C26</f>
        <v>99.87000000000002</v>
      </c>
      <c r="E26" s="124">
        <f>SUM(E24:E25)</f>
        <v>0</v>
      </c>
      <c r="F26" s="159">
        <f>E26/K55</f>
        <v>0</v>
      </c>
      <c r="G26" s="124">
        <f>SUM(G24:G25)</f>
        <v>0</v>
      </c>
      <c r="H26" s="159">
        <f>G26/K55</f>
        <v>0</v>
      </c>
      <c r="I26" s="79">
        <f>I24+I25</f>
        <v>0</v>
      </c>
      <c r="J26" s="161">
        <f>I26/K55</f>
        <v>0</v>
      </c>
      <c r="K26" s="155">
        <f>B26+D26+F26+H26+J26</f>
        <v>219</v>
      </c>
    </row>
    <row r="27" spans="1:11" ht="12.75">
      <c r="A27" s="231" t="s">
        <v>44</v>
      </c>
      <c r="B27" s="233"/>
      <c r="C27" s="62">
        <v>3105.9</v>
      </c>
      <c r="D27" s="59">
        <v>0</v>
      </c>
      <c r="E27" s="124">
        <v>0</v>
      </c>
      <c r="F27" s="124"/>
      <c r="G27" s="59">
        <v>0</v>
      </c>
      <c r="H27" s="289"/>
      <c r="I27" s="79">
        <v>0</v>
      </c>
      <c r="J27" s="43"/>
      <c r="K27" s="105"/>
    </row>
    <row r="28" spans="1:11" ht="12.75">
      <c r="A28" s="231" t="s">
        <v>43</v>
      </c>
      <c r="B28" s="233"/>
      <c r="C28" s="56">
        <f>'BRA Resource Clearing Results'!E25</f>
        <v>1746</v>
      </c>
      <c r="D28" s="78">
        <f>'BRA Resource Clearing Results'!C11</f>
        <v>0</v>
      </c>
      <c r="E28" s="124">
        <f>('BRA Resource Clearing Results'!C38+'BRA Resource Clearing Results'!D38)*('BRA Resource Clearing Results'!E11-'BRA Resource Clearing Results'!E7)</f>
        <v>0</v>
      </c>
      <c r="F28" s="43"/>
      <c r="G28" s="59">
        <f>'BRA Resource Clearing Results'!D38*('BRA Resource Clearing Results'!G11-'BRA Resource Clearing Results'!G7)</f>
        <v>0</v>
      </c>
      <c r="H28" s="43"/>
      <c r="I28" s="79">
        <f>'BRA Resource Clearing Results'!J52</f>
        <v>0</v>
      </c>
      <c r="J28" s="43"/>
      <c r="K28" s="105"/>
    </row>
    <row r="29" spans="1:11" ht="12.75">
      <c r="A29" s="311" t="s">
        <v>17</v>
      </c>
      <c r="B29" s="159">
        <f>J17</f>
        <v>119.13</v>
      </c>
      <c r="C29" s="62">
        <f>C27+C28</f>
        <v>4851.9</v>
      </c>
      <c r="D29" s="160">
        <f>(C28*D28+C27*D27)/C29</f>
        <v>0</v>
      </c>
      <c r="E29" s="124">
        <f>SUM(E27:E28)</f>
        <v>0</v>
      </c>
      <c r="F29" s="159">
        <f>E29/K47</f>
        <v>0</v>
      </c>
      <c r="G29" s="124">
        <f>SUM(G27:G28)</f>
        <v>0</v>
      </c>
      <c r="H29" s="159">
        <f>G29/K47</f>
        <v>0</v>
      </c>
      <c r="I29" s="79">
        <f>I27+I28</f>
        <v>0</v>
      </c>
      <c r="J29" s="161">
        <f>I29/K47</f>
        <v>0</v>
      </c>
      <c r="K29" s="155">
        <f>B29+D29+F29+H29+J29</f>
        <v>119.13</v>
      </c>
    </row>
    <row r="30" spans="1:11" ht="12.75">
      <c r="A30" s="298" t="s">
        <v>182</v>
      </c>
      <c r="B30" s="299"/>
      <c r="C30" s="300">
        <f>'BRA Resource Clearing Results'!E40</f>
        <v>5822.2</v>
      </c>
      <c r="D30" s="301">
        <f>'BRA Resource Clearing Results'!C13</f>
        <v>35.08</v>
      </c>
      <c r="E30" s="301">
        <f>('BRA Resource Clearing Results'!C40+'BRA Resource Clearing Results'!D40)*('BRA Resource Clearing Results'!E13-'BRA Resource Clearing Results'!E5)</f>
        <v>102529.63</v>
      </c>
      <c r="F30" s="296"/>
      <c r="G30" s="301">
        <f>'BRA Resource Clearing Results'!D40*('BRA Resource Clearing Results'!G13-'BRA Resource Clearing Results'!G5)</f>
        <v>0</v>
      </c>
      <c r="H30" s="296"/>
      <c r="I30" s="302">
        <f>'BRA Resource Clearing Results'!J54</f>
        <v>0</v>
      </c>
      <c r="J30" s="296"/>
      <c r="K30" s="303"/>
    </row>
    <row r="31" spans="1:11" ht="12.75">
      <c r="A31" s="231" t="s">
        <v>181</v>
      </c>
      <c r="B31" s="233"/>
      <c r="C31" s="56">
        <f>'BRA Resource Clearing Results'!E41</f>
        <v>2850</v>
      </c>
      <c r="D31" s="59">
        <f>'BRA Resource Clearing Results'!C13+'BRA Resource Clearing Results'!C14</f>
        <v>35.08</v>
      </c>
      <c r="E31" s="59">
        <f>('BRA Resource Clearing Results'!C41+'BRA Resource Clearing Results'!D41)*('BRA Resource Clearing Results'!E14-'BRA Resource Clearing Results'!E5)</f>
        <v>49145.38800000001</v>
      </c>
      <c r="F31" s="43"/>
      <c r="G31" s="59">
        <f>'BRA Resource Clearing Results'!D41*('BRA Resource Clearing Results'!G14-'BRA Resource Clearing Results'!G5)</f>
        <v>0</v>
      </c>
      <c r="H31" s="43"/>
      <c r="I31" s="79">
        <f>'BRA Resource Clearing Results'!J55</f>
        <v>0</v>
      </c>
      <c r="J31" s="43"/>
      <c r="K31" s="105"/>
    </row>
    <row r="32" spans="1:11" ht="13.5" thickBot="1">
      <c r="A32" s="237" t="s">
        <v>51</v>
      </c>
      <c r="B32" s="235">
        <f>J15</f>
        <v>59.37</v>
      </c>
      <c r="C32" s="108">
        <f>C31+C30</f>
        <v>8672.2</v>
      </c>
      <c r="D32" s="163">
        <f>(C31*D31+C30*D30)/C32</f>
        <v>35.07999999999999</v>
      </c>
      <c r="E32" s="125">
        <f>SUM(E30:E31)</f>
        <v>151675.018</v>
      </c>
      <c r="F32" s="162">
        <f>E32/K40</f>
        <v>10.030677881544916</v>
      </c>
      <c r="G32" s="125">
        <f>SUM(G30:G31)</f>
        <v>0</v>
      </c>
      <c r="H32" s="162">
        <f>G32/K40</f>
        <v>0</v>
      </c>
      <c r="I32" s="164">
        <f>I30+I31</f>
        <v>0</v>
      </c>
      <c r="J32" s="165">
        <f>I32/K40</f>
        <v>0</v>
      </c>
      <c r="K32" s="156">
        <f>B32+D32+F32+H32+J32</f>
        <v>104.4806778815449</v>
      </c>
    </row>
    <row r="33" spans="1:7" ht="12.75" customHeight="1">
      <c r="A33" s="353" t="s">
        <v>210</v>
      </c>
      <c r="B33" s="353"/>
      <c r="C33" s="345"/>
      <c r="D33" s="345"/>
      <c r="E33" s="345"/>
      <c r="F33" s="345"/>
      <c r="G33" s="345"/>
    </row>
    <row r="34" spans="1:12" ht="13.5" thickBot="1">
      <c r="A34" s="10"/>
      <c r="B34" s="9"/>
      <c r="C34" s="9"/>
      <c r="D34" s="9"/>
      <c r="E34" s="61"/>
      <c r="F34" s="42" t="s">
        <v>24</v>
      </c>
      <c r="G34" s="5"/>
      <c r="H34" s="5"/>
      <c r="I34" s="5"/>
      <c r="J34" s="5"/>
      <c r="K34" s="5"/>
      <c r="L34" s="13"/>
    </row>
    <row r="35" spans="1:12" s="2" customFormat="1" ht="19.5" thickBot="1">
      <c r="A35" s="87" t="s">
        <v>47</v>
      </c>
      <c r="B35" s="3"/>
      <c r="E35" s="72"/>
      <c r="F35" s="72"/>
      <c r="G35" s="72"/>
      <c r="H35" s="72"/>
      <c r="I35" s="72"/>
      <c r="J35" s="72"/>
      <c r="K35" s="72"/>
      <c r="L35" s="41"/>
    </row>
    <row r="36" spans="1:12" ht="54.75" customHeight="1">
      <c r="A36" s="239" t="s">
        <v>7</v>
      </c>
      <c r="B36" s="81" t="s">
        <v>28</v>
      </c>
      <c r="C36" s="82" t="s">
        <v>27</v>
      </c>
      <c r="D36" s="220" t="s">
        <v>36</v>
      </c>
      <c r="E36" s="81" t="s">
        <v>190</v>
      </c>
      <c r="F36" s="82" t="s">
        <v>22</v>
      </c>
      <c r="G36" s="82" t="s">
        <v>192</v>
      </c>
      <c r="H36" s="82" t="s">
        <v>31</v>
      </c>
      <c r="I36" s="83" t="s">
        <v>23</v>
      </c>
      <c r="J36" s="83" t="s">
        <v>25</v>
      </c>
      <c r="K36" s="83" t="s">
        <v>26</v>
      </c>
      <c r="L36" s="148" t="s">
        <v>37</v>
      </c>
    </row>
    <row r="37" spans="1:12" ht="12.75">
      <c r="A37" s="231" t="s">
        <v>16</v>
      </c>
      <c r="B37" s="240" t="s">
        <v>30</v>
      </c>
      <c r="C37" s="80" t="s">
        <v>41</v>
      </c>
      <c r="D37" s="221"/>
      <c r="E37" s="242">
        <v>2600</v>
      </c>
      <c r="F37" s="77">
        <f>G37/E37</f>
        <v>1.07</v>
      </c>
      <c r="G37" s="170">
        <v>2782</v>
      </c>
      <c r="H37" s="76">
        <f>$B$9*G37/$G$57</f>
        <v>75.82339663095047</v>
      </c>
      <c r="I37" s="77">
        <f>$B$10</f>
        <v>1.0182520664794263</v>
      </c>
      <c r="J37" s="77">
        <f>I37*F37</f>
        <v>1.0895297111329862</v>
      </c>
      <c r="K37" s="75">
        <f>E37*J37*$B$6+H37</f>
        <v>3164.1171534316227</v>
      </c>
      <c r="L37" s="153">
        <f>J17</f>
        <v>119.13</v>
      </c>
    </row>
    <row r="38" spans="1:12" ht="12.75">
      <c r="A38" s="231" t="s">
        <v>211</v>
      </c>
      <c r="B38" s="240"/>
      <c r="C38" s="80"/>
      <c r="D38" s="221"/>
      <c r="E38" s="242">
        <f>22663.9-11424.9</f>
        <v>11239.000000000002</v>
      </c>
      <c r="F38" s="77">
        <v>1.0592881189909944</v>
      </c>
      <c r="G38" s="170">
        <f>E38*F38</f>
        <v>11905.339169339788</v>
      </c>
      <c r="H38" s="76">
        <f aca="true" t="shared" si="0" ref="H38:H56">$B$9*G38/$G$57</f>
        <v>324.47996184861296</v>
      </c>
      <c r="I38" s="77">
        <f aca="true" t="shared" si="1" ref="I38:I44">$B$10</f>
        <v>1.0182520664794263</v>
      </c>
      <c r="J38" s="77">
        <f aca="true" t="shared" si="2" ref="J38:J56">I38*F38</f>
        <v>1.0786223161596844</v>
      </c>
      <c r="K38" s="75">
        <f aca="true" t="shared" si="3" ref="K38:K56">E38*J38*$B$6+H38</f>
        <v>13540.577959428254</v>
      </c>
      <c r="L38" s="153">
        <f>J15</f>
        <v>59.37</v>
      </c>
    </row>
    <row r="39" spans="1:12" ht="12.75">
      <c r="A39" s="231" t="s">
        <v>19</v>
      </c>
      <c r="B39" s="240" t="s">
        <v>24</v>
      </c>
      <c r="C39" s="80"/>
      <c r="D39" s="221"/>
      <c r="E39" s="242">
        <v>8210</v>
      </c>
      <c r="F39" s="77">
        <f aca="true" t="shared" si="4" ref="F39:F56">G39/E39</f>
        <v>1.0701583434835567</v>
      </c>
      <c r="G39" s="170">
        <v>8786</v>
      </c>
      <c r="H39" s="76">
        <f t="shared" si="0"/>
        <v>239.46238777840793</v>
      </c>
      <c r="I39" s="77">
        <f t="shared" si="1"/>
        <v>1.0182520664794263</v>
      </c>
      <c r="J39" s="77">
        <f t="shared" si="2"/>
        <v>1.0896909447123313</v>
      </c>
      <c r="K39" s="75">
        <f t="shared" si="3"/>
        <v>9992.786955445808</v>
      </c>
      <c r="L39" s="153">
        <f>J15</f>
        <v>59.37</v>
      </c>
    </row>
    <row r="40" spans="1:12" ht="12.75">
      <c r="A40" s="231" t="s">
        <v>51</v>
      </c>
      <c r="B40" s="240"/>
      <c r="C40" s="80"/>
      <c r="D40" s="221" t="s">
        <v>51</v>
      </c>
      <c r="E40" s="242">
        <v>12660</v>
      </c>
      <c r="F40" s="77">
        <f t="shared" si="4"/>
        <v>1.0501579778830963</v>
      </c>
      <c r="G40" s="170">
        <v>13295</v>
      </c>
      <c r="H40" s="76">
        <f t="shared" si="0"/>
        <v>362.3551611101677</v>
      </c>
      <c r="I40" s="77">
        <f t="shared" si="1"/>
        <v>1.0182520664794263</v>
      </c>
      <c r="J40" s="77">
        <f t="shared" si="2"/>
        <v>1.0693255311093186</v>
      </c>
      <c r="K40" s="75">
        <f t="shared" si="3"/>
        <v>15121.11342734487</v>
      </c>
      <c r="L40" s="153">
        <f>K32</f>
        <v>104.4806778815449</v>
      </c>
    </row>
    <row r="41" spans="1:12" ht="12.75">
      <c r="A41" s="231" t="s">
        <v>11</v>
      </c>
      <c r="B41" s="240" t="s">
        <v>30</v>
      </c>
      <c r="C41" s="80" t="s">
        <v>5</v>
      </c>
      <c r="D41" s="221"/>
      <c r="E41" s="242">
        <v>6870</v>
      </c>
      <c r="F41" s="77">
        <f t="shared" si="4"/>
        <v>1.060844250363901</v>
      </c>
      <c r="G41" s="170">
        <v>7288</v>
      </c>
      <c r="H41" s="76">
        <f t="shared" si="0"/>
        <v>198.6344049771269</v>
      </c>
      <c r="I41" s="77">
        <f t="shared" si="1"/>
        <v>1.0182520664794263</v>
      </c>
      <c r="J41" s="77">
        <f t="shared" si="2"/>
        <v>1.0802068501458602</v>
      </c>
      <c r="K41" s="75">
        <f t="shared" si="3"/>
        <v>8289.031565136473</v>
      </c>
      <c r="L41" s="153">
        <f>J18</f>
        <v>119.13</v>
      </c>
    </row>
    <row r="42" spans="1:12" ht="12.75">
      <c r="A42" s="231" t="s">
        <v>20</v>
      </c>
      <c r="B42" s="240"/>
      <c r="C42" s="80"/>
      <c r="D42" s="221"/>
      <c r="E42" s="242">
        <v>21650</v>
      </c>
      <c r="F42" s="77">
        <f t="shared" si="4"/>
        <v>1.085635103926097</v>
      </c>
      <c r="G42" s="170">
        <v>23504</v>
      </c>
      <c r="H42" s="76">
        <f t="shared" si="0"/>
        <v>640.6014070502731</v>
      </c>
      <c r="I42" s="77">
        <f t="shared" si="1"/>
        <v>1.0182520664794263</v>
      </c>
      <c r="J42" s="77">
        <f t="shared" si="2"/>
        <v>1.105450188015355</v>
      </c>
      <c r="K42" s="75">
        <f t="shared" si="3"/>
        <v>26732.354268244737</v>
      </c>
      <c r="L42" s="153">
        <f>J15</f>
        <v>59.37</v>
      </c>
    </row>
    <row r="43" spans="1:12" ht="12.75">
      <c r="A43" s="231" t="s">
        <v>21</v>
      </c>
      <c r="B43" s="240"/>
      <c r="C43" s="80"/>
      <c r="D43" s="221"/>
      <c r="E43" s="242">
        <v>3230</v>
      </c>
      <c r="F43" s="77">
        <f t="shared" si="4"/>
        <v>1.1009287925696594</v>
      </c>
      <c r="G43" s="170">
        <v>3556</v>
      </c>
      <c r="H43" s="76">
        <f t="shared" si="0"/>
        <v>96.91876291145215</v>
      </c>
      <c r="I43" s="77">
        <f t="shared" si="1"/>
        <v>1.0182520664794263</v>
      </c>
      <c r="J43" s="77">
        <f>I43*F43</f>
        <v>1.1210230180807554</v>
      </c>
      <c r="K43" s="75">
        <f t="shared" si="3"/>
        <v>4044.4286835380485</v>
      </c>
      <c r="L43" s="153">
        <f>J15</f>
        <v>59.37</v>
      </c>
    </row>
    <row r="44" spans="1:12" ht="12.75">
      <c r="A44" s="231" t="s">
        <v>212</v>
      </c>
      <c r="B44" s="240"/>
      <c r="C44" s="80"/>
      <c r="D44" s="221"/>
      <c r="E44" s="242">
        <f>5246.5-842.1</f>
        <v>4404.4</v>
      </c>
      <c r="F44" s="77">
        <v>1.0620794815591346</v>
      </c>
      <c r="G44" s="170">
        <f>E44*F44</f>
        <v>4677.822868579052</v>
      </c>
      <c r="H44" s="76">
        <f t="shared" si="0"/>
        <v>127.49403980359453</v>
      </c>
      <c r="I44" s="77">
        <f t="shared" si="1"/>
        <v>1.0182520664794263</v>
      </c>
      <c r="J44" s="77">
        <f>I44*F44</f>
        <v>1.0814646268629866</v>
      </c>
      <c r="K44" s="75">
        <f t="shared" si="3"/>
        <v>5320.337735149425</v>
      </c>
      <c r="L44" s="153">
        <f>J15</f>
        <v>59.37</v>
      </c>
    </row>
    <row r="45" spans="1:12" ht="12.75">
      <c r="A45" s="231" t="s">
        <v>50</v>
      </c>
      <c r="B45" s="240"/>
      <c r="C45" s="80"/>
      <c r="D45" s="221"/>
      <c r="E45" s="242">
        <v>2800</v>
      </c>
      <c r="F45" s="77">
        <f t="shared" si="4"/>
        <v>1.07</v>
      </c>
      <c r="G45" s="170">
        <v>2996</v>
      </c>
      <c r="H45" s="76">
        <f t="shared" si="0"/>
        <v>81.65596560256205</v>
      </c>
      <c r="I45" s="77">
        <f aca="true" t="shared" si="5" ref="I45:I56">$B$10</f>
        <v>1.0182520664794263</v>
      </c>
      <c r="J45" s="77">
        <f>I45*F45</f>
        <v>1.0895297111329862</v>
      </c>
      <c r="K45" s="75">
        <f t="shared" si="3"/>
        <v>3407.5107806186707</v>
      </c>
      <c r="L45" s="153">
        <f>J15</f>
        <v>59.37</v>
      </c>
    </row>
    <row r="46" spans="1:12" ht="12.75">
      <c r="A46" s="231" t="s">
        <v>33</v>
      </c>
      <c r="B46" s="240"/>
      <c r="C46" s="80"/>
      <c r="D46" s="221"/>
      <c r="E46" s="242">
        <v>18570</v>
      </c>
      <c r="F46" s="77">
        <f t="shared" si="4"/>
        <v>1.0993537964458804</v>
      </c>
      <c r="G46" s="170">
        <v>20415</v>
      </c>
      <c r="H46" s="76">
        <f t="shared" si="0"/>
        <v>556.4107268946276</v>
      </c>
      <c r="I46" s="77">
        <f t="shared" si="5"/>
        <v>1.0182520664794263</v>
      </c>
      <c r="J46" s="77">
        <f t="shared" si="2"/>
        <v>1.1194192750230203</v>
      </c>
      <c r="K46" s="75">
        <f t="shared" si="3"/>
        <v>23219.069621605526</v>
      </c>
      <c r="L46" s="153">
        <f>J15</f>
        <v>59.37</v>
      </c>
    </row>
    <row r="47" spans="1:12" ht="12.75">
      <c r="A47" s="231" t="s">
        <v>17</v>
      </c>
      <c r="B47" s="240" t="s">
        <v>30</v>
      </c>
      <c r="C47" s="80" t="s">
        <v>41</v>
      </c>
      <c r="D47" s="221" t="s">
        <v>17</v>
      </c>
      <c r="E47" s="242">
        <v>3950</v>
      </c>
      <c r="F47" s="77">
        <f t="shared" si="4"/>
        <v>1.0663291139240507</v>
      </c>
      <c r="G47" s="170">
        <v>4212</v>
      </c>
      <c r="H47" s="76">
        <f t="shared" si="0"/>
        <v>114.79803975900913</v>
      </c>
      <c r="I47" s="77">
        <f t="shared" si="5"/>
        <v>1.0182520664794263</v>
      </c>
      <c r="J47" s="77">
        <f t="shared" si="2"/>
        <v>1.0857918238003403</v>
      </c>
      <c r="K47" s="75">
        <f t="shared" si="3"/>
        <v>4790.532512672177</v>
      </c>
      <c r="L47" s="153">
        <f>K29</f>
        <v>119.13</v>
      </c>
    </row>
    <row r="48" spans="1:12" ht="12.75">
      <c r="A48" s="231" t="s">
        <v>213</v>
      </c>
      <c r="B48" s="240"/>
      <c r="C48" s="80"/>
      <c r="D48" s="221"/>
      <c r="E48" s="242">
        <f>2096.4-31.2</f>
        <v>2065.2000000000003</v>
      </c>
      <c r="F48" s="77">
        <v>1.049513451631368</v>
      </c>
      <c r="G48" s="170">
        <f>E48*F48</f>
        <v>2167.4551803091017</v>
      </c>
      <c r="H48" s="76">
        <f t="shared" si="0"/>
        <v>59.073980523502975</v>
      </c>
      <c r="I48" s="77">
        <f t="shared" si="5"/>
        <v>1.0182520664794263</v>
      </c>
      <c r="J48" s="77">
        <f t="shared" si="2"/>
        <v>1.0686692409215959</v>
      </c>
      <c r="K48" s="75">
        <f t="shared" si="3"/>
        <v>2465.1625144896684</v>
      </c>
      <c r="L48" s="153">
        <f>J15</f>
        <v>59.37</v>
      </c>
    </row>
    <row r="49" spans="1:12" ht="12.75">
      <c r="A49" s="231" t="s">
        <v>12</v>
      </c>
      <c r="B49" s="240" t="s">
        <v>30</v>
      </c>
      <c r="C49" s="80" t="s">
        <v>41</v>
      </c>
      <c r="D49" s="221"/>
      <c r="E49" s="242">
        <v>5960</v>
      </c>
      <c r="F49" s="77">
        <f t="shared" si="4"/>
        <v>1.0706375838926174</v>
      </c>
      <c r="G49" s="170">
        <v>6381</v>
      </c>
      <c r="H49" s="76">
        <f t="shared" si="0"/>
        <v>173.91412433576383</v>
      </c>
      <c r="I49" s="77">
        <f t="shared" si="5"/>
        <v>1.0182520664794263</v>
      </c>
      <c r="J49" s="77">
        <f t="shared" si="2"/>
        <v>1.090178932249198</v>
      </c>
      <c r="K49" s="75">
        <f t="shared" si="3"/>
        <v>7257.452033086694</v>
      </c>
      <c r="L49" s="153">
        <f>J17</f>
        <v>119.13</v>
      </c>
    </row>
    <row r="50" spans="1:12" ht="12.75">
      <c r="A50" s="231" t="s">
        <v>13</v>
      </c>
      <c r="B50" s="240" t="s">
        <v>30</v>
      </c>
      <c r="C50" s="80"/>
      <c r="D50" s="221"/>
      <c r="E50" s="242">
        <v>2820</v>
      </c>
      <c r="F50" s="77">
        <f t="shared" si="4"/>
        <v>1.0879432624113474</v>
      </c>
      <c r="G50" s="170">
        <v>3068</v>
      </c>
      <c r="H50" s="76">
        <f t="shared" si="0"/>
        <v>83.6183252565622</v>
      </c>
      <c r="I50" s="77">
        <f t="shared" si="5"/>
        <v>1.0182520664794263</v>
      </c>
      <c r="J50" s="77">
        <f t="shared" si="2"/>
        <v>1.1078004751627233</v>
      </c>
      <c r="K50" s="75">
        <f t="shared" si="3"/>
        <v>3489.400225279733</v>
      </c>
      <c r="L50" s="153">
        <f>J16</f>
        <v>119.13</v>
      </c>
    </row>
    <row r="51" spans="1:12" ht="12.75">
      <c r="A51" s="231" t="s">
        <v>9</v>
      </c>
      <c r="B51" s="240" t="s">
        <v>30</v>
      </c>
      <c r="C51" s="80" t="s">
        <v>41</v>
      </c>
      <c r="D51" s="221"/>
      <c r="E51" s="242">
        <v>8320</v>
      </c>
      <c r="F51" s="77">
        <f t="shared" si="4"/>
        <v>1.070673076923077</v>
      </c>
      <c r="G51" s="170">
        <v>8908</v>
      </c>
      <c r="H51" s="76">
        <f t="shared" si="0"/>
        <v>242.78749719213042</v>
      </c>
      <c r="I51" s="77">
        <f t="shared" si="5"/>
        <v>1.0182520664794263</v>
      </c>
      <c r="J51" s="77">
        <f t="shared" si="2"/>
        <v>1.090215073100809</v>
      </c>
      <c r="K51" s="75">
        <f t="shared" si="3"/>
        <v>10131.544070010386</v>
      </c>
      <c r="L51" s="153">
        <f>J17</f>
        <v>119.13</v>
      </c>
    </row>
    <row r="52" spans="1:12" ht="12.75">
      <c r="A52" s="231" t="s">
        <v>14</v>
      </c>
      <c r="B52" s="240" t="s">
        <v>30</v>
      </c>
      <c r="C52" s="80"/>
      <c r="D52" s="221"/>
      <c r="E52" s="242">
        <v>2740</v>
      </c>
      <c r="F52" s="77">
        <f t="shared" si="4"/>
        <v>1.110948905109489</v>
      </c>
      <c r="G52" s="170">
        <v>3044</v>
      </c>
      <c r="H52" s="76">
        <f t="shared" si="0"/>
        <v>82.96420537189549</v>
      </c>
      <c r="I52" s="77">
        <f t="shared" si="5"/>
        <v>1.0182520664794263</v>
      </c>
      <c r="J52" s="77">
        <f t="shared" si="2"/>
        <v>1.1312260183807932</v>
      </c>
      <c r="K52" s="75">
        <f t="shared" si="3"/>
        <v>3462.103743726045</v>
      </c>
      <c r="L52" s="153">
        <f>J16</f>
        <v>119.13</v>
      </c>
    </row>
    <row r="53" spans="1:12" ht="12.75">
      <c r="A53" s="231" t="s">
        <v>15</v>
      </c>
      <c r="B53" s="240" t="s">
        <v>30</v>
      </c>
      <c r="C53" s="80" t="s">
        <v>5</v>
      </c>
      <c r="D53" s="221" t="s">
        <v>15</v>
      </c>
      <c r="E53" s="242">
        <v>6540</v>
      </c>
      <c r="F53" s="77">
        <f t="shared" si="4"/>
        <v>1.039755351681957</v>
      </c>
      <c r="G53" s="170">
        <v>6800</v>
      </c>
      <c r="H53" s="76">
        <f t="shared" si="0"/>
        <v>185.33396732223696</v>
      </c>
      <c r="I53" s="77">
        <f t="shared" si="5"/>
        <v>1.0182520664794263</v>
      </c>
      <c r="J53" s="77">
        <f t="shared" si="2"/>
        <v>1.0587330354831954</v>
      </c>
      <c r="K53" s="75">
        <f t="shared" si="3"/>
        <v>7734.003106878157</v>
      </c>
      <c r="L53" s="153">
        <f>J19</f>
        <v>119.13</v>
      </c>
    </row>
    <row r="54" spans="1:12" ht="12.75">
      <c r="A54" s="231" t="s">
        <v>10</v>
      </c>
      <c r="B54" s="240" t="s">
        <v>30</v>
      </c>
      <c r="C54" s="80"/>
      <c r="D54" s="221"/>
      <c r="E54" s="242">
        <v>7075</v>
      </c>
      <c r="F54" s="77">
        <f t="shared" si="4"/>
        <v>1.0715194346289754</v>
      </c>
      <c r="G54" s="170">
        <v>7581</v>
      </c>
      <c r="H54" s="76">
        <f t="shared" si="0"/>
        <v>206.62011856909976</v>
      </c>
      <c r="I54" s="77">
        <f t="shared" si="5"/>
        <v>1.0182520664794263</v>
      </c>
      <c r="J54" s="77">
        <f t="shared" si="2"/>
        <v>1.0910768785838207</v>
      </c>
      <c r="K54" s="75">
        <f t="shared" si="3"/>
        <v>8622.276110771076</v>
      </c>
      <c r="L54" s="153">
        <f>J16</f>
        <v>119.13</v>
      </c>
    </row>
    <row r="55" spans="1:12" ht="12.75">
      <c r="A55" s="231" t="s">
        <v>8</v>
      </c>
      <c r="B55" s="240" t="s">
        <v>30</v>
      </c>
      <c r="C55" s="80" t="s">
        <v>41</v>
      </c>
      <c r="D55" s="221" t="s">
        <v>8</v>
      </c>
      <c r="E55" s="242">
        <v>10100</v>
      </c>
      <c r="F55" s="77">
        <f t="shared" si="4"/>
        <v>1.0495049504950495</v>
      </c>
      <c r="G55" s="170">
        <v>10600</v>
      </c>
      <c r="H55" s="76">
        <f t="shared" si="0"/>
        <v>288.9029490611341</v>
      </c>
      <c r="I55" s="77">
        <f t="shared" si="5"/>
        <v>1.0182520664794263</v>
      </c>
      <c r="J55" s="77">
        <f t="shared" si="2"/>
        <v>1.0686605846219723</v>
      </c>
      <c r="K55" s="75">
        <f t="shared" si="3"/>
        <v>12055.946019545365</v>
      </c>
      <c r="L55" s="153">
        <f>K26</f>
        <v>219</v>
      </c>
    </row>
    <row r="56" spans="1:12" ht="13.5" thickBot="1">
      <c r="A56" s="232" t="s">
        <v>18</v>
      </c>
      <c r="B56" s="241" t="s">
        <v>30</v>
      </c>
      <c r="C56" s="84" t="s">
        <v>41</v>
      </c>
      <c r="D56" s="222"/>
      <c r="E56" s="243">
        <v>400</v>
      </c>
      <c r="F56" s="86">
        <f t="shared" si="4"/>
        <v>1.04</v>
      </c>
      <c r="G56" s="317">
        <v>416</v>
      </c>
      <c r="H56" s="85">
        <f t="shared" si="0"/>
        <v>11.33807800088979</v>
      </c>
      <c r="I56" s="86">
        <f t="shared" si="5"/>
        <v>1.0182520664794263</v>
      </c>
      <c r="J56" s="86">
        <f t="shared" si="2"/>
        <v>1.0589821491386033</v>
      </c>
      <c r="K56" s="208">
        <f t="shared" si="3"/>
        <v>473.1390135972519</v>
      </c>
      <c r="L56" s="154">
        <f>J17</f>
        <v>119.13</v>
      </c>
    </row>
    <row r="57" spans="1:12" ht="12.75">
      <c r="A57" s="238" t="s">
        <v>90</v>
      </c>
      <c r="B57" s="12"/>
      <c r="C57" s="10"/>
      <c r="D57" s="10"/>
      <c r="E57" s="313">
        <f>SUM(E37:E56)</f>
        <v>142203.59999999998</v>
      </c>
      <c r="F57" s="314"/>
      <c r="G57" s="312">
        <f>SUM(G37:G56)</f>
        <v>152382.61721822794</v>
      </c>
      <c r="H57" s="315">
        <f>SUM(H37:H56)</f>
        <v>4153.1875</v>
      </c>
      <c r="I57" s="21"/>
      <c r="J57" s="318"/>
      <c r="K57" s="316">
        <f>SUM(K37:K56)</f>
        <v>173312.8875</v>
      </c>
      <c r="L57" s="27"/>
    </row>
    <row r="58" spans="1:12" ht="12.75">
      <c r="A58" s="288" t="s">
        <v>214</v>
      </c>
      <c r="B58" s="43"/>
      <c r="C58" s="43"/>
      <c r="D58" s="43"/>
      <c r="E58" s="43"/>
      <c r="F58" s="296"/>
      <c r="G58" s="43"/>
      <c r="H58" s="43"/>
      <c r="I58" s="43"/>
      <c r="J58" s="43"/>
      <c r="K58" s="43"/>
      <c r="L58" s="43"/>
    </row>
    <row r="59" spans="1:12" ht="30.75" customHeight="1">
      <c r="A59" s="352" t="s">
        <v>100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</row>
    <row r="60" spans="1:10" ht="12.75">
      <c r="A60" s="12"/>
      <c r="C60" s="7"/>
      <c r="D60" s="7"/>
      <c r="E60" s="11"/>
      <c r="F60" s="7"/>
      <c r="G60" s="7"/>
      <c r="I60" s="7"/>
      <c r="J60" s="7" t="s">
        <v>24</v>
      </c>
    </row>
    <row r="61" spans="1:10" ht="12.75">
      <c r="A61" s="12"/>
      <c r="C61" s="7"/>
      <c r="D61" s="7"/>
      <c r="E61" s="11"/>
      <c r="F61" s="7"/>
      <c r="G61" s="7"/>
      <c r="I61" s="7"/>
      <c r="J61" s="7"/>
    </row>
    <row r="63" ht="15">
      <c r="A63" s="65"/>
    </row>
    <row r="74" ht="12.75">
      <c r="B74" s="6" t="s">
        <v>24</v>
      </c>
    </row>
    <row r="75" ht="12.75">
      <c r="B75" s="6" t="s">
        <v>24</v>
      </c>
    </row>
    <row r="76" spans="2:4" ht="12.75">
      <c r="B76" s="6" t="s">
        <v>24</v>
      </c>
      <c r="C76" s="6" t="s">
        <v>24</v>
      </c>
      <c r="D76" s="6" t="s">
        <v>24</v>
      </c>
    </row>
    <row r="77" ht="12.75">
      <c r="B77" s="6" t="s">
        <v>24</v>
      </c>
    </row>
    <row r="78" ht="12.75">
      <c r="B78" s="6" t="s">
        <v>24</v>
      </c>
    </row>
    <row r="79" ht="12.75">
      <c r="B79" s="6" t="s">
        <v>24</v>
      </c>
    </row>
  </sheetData>
  <sheetProtection/>
  <mergeCells count="2">
    <mergeCell ref="A59:L59"/>
    <mergeCell ref="A33:B33"/>
  </mergeCells>
  <printOptions/>
  <pageMargins left="0.45" right="0.45" top="0.5" bottom="0.5" header="0" footer="0"/>
  <pageSetup fitToHeight="1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20" width="15.7109375" style="0" customWidth="1"/>
    <col min="21" max="21" width="17.28125" style="0" customWidth="1"/>
    <col min="22" max="22" width="15.7109375" style="0" customWidth="1"/>
  </cols>
  <sheetData>
    <row r="1" spans="1:19" ht="18.75">
      <c r="A1" s="24" t="s">
        <v>184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thickBot="1">
      <c r="A2" s="1" t="s">
        <v>24</v>
      </c>
      <c r="B2" s="6"/>
      <c r="C2" s="6"/>
      <c r="D2" s="38" t="s">
        <v>24</v>
      </c>
      <c r="E2" s="7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thickBot="1">
      <c r="A3" s="102" t="s">
        <v>85</v>
      </c>
      <c r="B3" s="1"/>
      <c r="C3" s="1"/>
      <c r="D3" s="1"/>
      <c r="E3" s="66" t="s">
        <v>24</v>
      </c>
      <c r="F3" s="6"/>
      <c r="G3" s="6"/>
      <c r="H3" s="19" t="s">
        <v>24</v>
      </c>
      <c r="I3" s="67"/>
      <c r="J3" s="19"/>
      <c r="K3" s="19"/>
      <c r="L3" s="19"/>
      <c r="S3" s="19"/>
    </row>
    <row r="4" spans="1:14" ht="109.5" customHeight="1">
      <c r="A4" s="209" t="s">
        <v>3</v>
      </c>
      <c r="B4" s="90" t="s">
        <v>86</v>
      </c>
      <c r="C4" s="90" t="s">
        <v>87</v>
      </c>
      <c r="D4" s="90" t="s">
        <v>31</v>
      </c>
      <c r="E4" s="90" t="s">
        <v>132</v>
      </c>
      <c r="F4" s="89" t="s">
        <v>88</v>
      </c>
      <c r="G4" s="197" t="s">
        <v>158</v>
      </c>
      <c r="H4" s="89" t="s">
        <v>96</v>
      </c>
      <c r="I4" s="197" t="s">
        <v>159</v>
      </c>
      <c r="J4" s="103" t="s">
        <v>164</v>
      </c>
      <c r="K4" s="23"/>
      <c r="N4" s="23"/>
    </row>
    <row r="5" spans="1:14" ht="12.75">
      <c r="A5" s="210" t="s">
        <v>30</v>
      </c>
      <c r="B5" s="137">
        <f>'BRA Load Pricing Results'!B16</f>
        <v>69469.54555413498</v>
      </c>
      <c r="C5" s="137">
        <f>'BRA Resource Clearing Results'!E20</f>
        <v>66546.4</v>
      </c>
      <c r="D5" s="56">
        <f>'BRA Load Pricing Results'!H37+'BRA Load Pricing Results'!H41+'BRA Load Pricing Results'!H47+'BRA Load Pricing Results'!H49+'BRA Load Pricing Results'!H50+'BRA Load Pricing Results'!H51+'BRA Load Pricing Results'!H52+'BRA Load Pricing Results'!H53+'BRA Load Pricing Results'!H54+'BRA Load Pricing Results'!H55+'BRA Load Pricing Results'!H56</f>
        <v>1664.735106476799</v>
      </c>
      <c r="E5" s="267">
        <f>B5-C5-D5-81.8</f>
        <v>1176.610447658187</v>
      </c>
      <c r="F5" s="56">
        <f>'BRA Resource Clearing Results'!B60</f>
        <v>0</v>
      </c>
      <c r="G5" s="56">
        <f aca="true" t="shared" si="0" ref="G5:G10">E5-F5</f>
        <v>1176.610447658187</v>
      </c>
      <c r="H5" s="56">
        <f>'BRA ICTRs'!B22</f>
        <v>159</v>
      </c>
      <c r="I5" s="56">
        <f>'BRA ICTRs'!B12+'BRA ICTRs'!B17</f>
        <v>738</v>
      </c>
      <c r="J5" s="211">
        <f>G5-H5-I5</f>
        <v>279.610447658187</v>
      </c>
      <c r="K5" s="134"/>
      <c r="N5" s="9"/>
    </row>
    <row r="6" spans="1:14" ht="12.75">
      <c r="A6" s="210" t="s">
        <v>41</v>
      </c>
      <c r="B6" s="137">
        <f>'BRA Load Pricing Results'!B17</f>
        <v>37872.730802343496</v>
      </c>
      <c r="C6" s="137">
        <f>'BRA Resource Clearing Results'!E21</f>
        <v>31521.7</v>
      </c>
      <c r="D6" s="56">
        <f>'BRA Load Pricing Results'!H37+'BRA Load Pricing Results'!H47+'BRA Load Pricing Results'!H49+'BRA Load Pricing Results'!H51+'BRA Load Pricing Results'!H55+'BRA Load Pricing Results'!H56</f>
        <v>907.5640849798777</v>
      </c>
      <c r="E6" s="267">
        <f>B6-C6-D6</f>
        <v>5443.466717363618</v>
      </c>
      <c r="F6" s="56">
        <f>'BRA Resource Clearing Results'!B61</f>
        <v>0</v>
      </c>
      <c r="G6" s="56">
        <f t="shared" si="0"/>
        <v>5443.466717363618</v>
      </c>
      <c r="H6" s="347">
        <f>'BRA ICTRs'!C22</f>
        <v>0</v>
      </c>
      <c r="I6" s="56">
        <f>'BRA ICTRs'!C12+'BRA ICTRs'!C17</f>
        <v>898</v>
      </c>
      <c r="J6" s="211">
        <f>G6-H6-I6</f>
        <v>4545.466717363618</v>
      </c>
      <c r="K6" s="134"/>
      <c r="N6" s="9" t="s">
        <v>24</v>
      </c>
    </row>
    <row r="7" spans="1:14" ht="12.75">
      <c r="A7" s="210" t="s">
        <v>5</v>
      </c>
      <c r="B7" s="137">
        <f>'BRA Load Pricing Results'!B18</f>
        <v>16023.03467201463</v>
      </c>
      <c r="C7" s="137">
        <f>'BRA Resource Clearing Results'!E22</f>
        <v>12050</v>
      </c>
      <c r="D7" s="56">
        <f>'BRA Load Pricing Results'!H41+'BRA Load Pricing Results'!H53</f>
        <v>383.96837229936386</v>
      </c>
      <c r="E7" s="267">
        <f>B7-C7-D7</f>
        <v>3589.066299715266</v>
      </c>
      <c r="F7" s="56">
        <f>'BRA Resource Clearing Results'!B62</f>
        <v>0</v>
      </c>
      <c r="G7" s="56">
        <f t="shared" si="0"/>
        <v>3589.066299715266</v>
      </c>
      <c r="H7" s="56">
        <f>'BRA ICTRs'!D22</f>
        <v>444</v>
      </c>
      <c r="I7" s="56">
        <f>('BRA ICTRs'!D12+'BRA ICTRs'!D17)</f>
        <v>237</v>
      </c>
      <c r="J7" s="211">
        <f>G7-H7-I7</f>
        <v>2908.066299715266</v>
      </c>
      <c r="K7" s="134"/>
      <c r="N7" s="9"/>
    </row>
    <row r="8" spans="1:14" ht="12.75">
      <c r="A8" s="210" t="s">
        <v>48</v>
      </c>
      <c r="B8" s="137">
        <f>'BRA Load Pricing Results'!K55</f>
        <v>12055.946019545365</v>
      </c>
      <c r="C8" s="137">
        <f>'BRA Load Pricing Results'!C26</f>
        <v>6298.599999999999</v>
      </c>
      <c r="D8" s="56">
        <f>'BRA Load Pricing Results'!H55</f>
        <v>288.9029490611341</v>
      </c>
      <c r="E8" s="267">
        <f>B8-C8-D8-2.1</f>
        <v>5466.343070484231</v>
      </c>
      <c r="F8" s="56">
        <f>IF('BRA Resource Clearing Results'!D63+'BRA Resource Clearing Results'!D64=0,0,('BRA Resource Clearing Results'!D63+'BRA Resource Clearing Results'!D64)/'BRA Load Pricing Results'!D26)</f>
        <v>0</v>
      </c>
      <c r="G8" s="56">
        <f t="shared" si="0"/>
        <v>5466.343070484231</v>
      </c>
      <c r="H8" s="347">
        <f>('BRA ICTRs'!B96+'BRA ICTRs'!B97)/L16</f>
        <v>0</v>
      </c>
      <c r="I8" s="56">
        <f>('BRA ICTRs'!C96+'BRA ICTRs'!C97)/L16</f>
        <v>499.3999999999999</v>
      </c>
      <c r="J8" s="211">
        <f>G8-H8-I8</f>
        <v>4966.943070484232</v>
      </c>
      <c r="K8" s="134"/>
      <c r="N8" s="9"/>
    </row>
    <row r="9" spans="1:14" ht="12.75">
      <c r="A9" s="210" t="s">
        <v>46</v>
      </c>
      <c r="B9" s="137">
        <f>'BRA Load Pricing Results'!K47</f>
        <v>4790.532512672177</v>
      </c>
      <c r="C9" s="137">
        <f>'BRA Load Pricing Results'!C29</f>
        <v>4851.9</v>
      </c>
      <c r="D9" s="56">
        <f>'BRA Load Pricing Results'!H47</f>
        <v>114.79803975900913</v>
      </c>
      <c r="E9" s="267">
        <f>IF(B9-C9-D9&lt;0,0,B9-C9-D9)</f>
        <v>0</v>
      </c>
      <c r="F9" s="56">
        <f>IF('BRA Resource Clearing Results'!D65=0,0,('BRA Resource Clearing Results'!D65/'BRA Load Pricing Results'!D29))</f>
        <v>0</v>
      </c>
      <c r="G9" s="56">
        <f t="shared" si="0"/>
        <v>0</v>
      </c>
      <c r="H9" s="347">
        <f>'BRA ICTRs'!H22</f>
        <v>0</v>
      </c>
      <c r="I9" s="346">
        <v>0</v>
      </c>
      <c r="J9" s="349">
        <f>MAX(G9-H9-I9,0)</f>
        <v>0</v>
      </c>
      <c r="K9" s="340" t="s">
        <v>24</v>
      </c>
      <c r="N9" s="9"/>
    </row>
    <row r="10" spans="1:14" ht="12.75">
      <c r="A10" s="210" t="s">
        <v>15</v>
      </c>
      <c r="B10" s="137">
        <f>'BRA Load Pricing Results'!B19</f>
        <v>7734.003106878157</v>
      </c>
      <c r="C10" s="137">
        <f>'BRA Resource Clearing Results'!E26</f>
        <v>6093.7</v>
      </c>
      <c r="D10" s="56">
        <f>'BRA Load Pricing Results'!H53</f>
        <v>185.33396732223696</v>
      </c>
      <c r="E10" s="267">
        <f>B10-C10-D10</f>
        <v>1454.9691395559205</v>
      </c>
      <c r="F10" s="56">
        <f>'BRA Resource Clearing Results'!B66</f>
        <v>0</v>
      </c>
      <c r="G10" s="56">
        <f t="shared" si="0"/>
        <v>1454.9691395559205</v>
      </c>
      <c r="H10" s="56">
        <f>'BRA ICTRs'!I22</f>
        <v>191</v>
      </c>
      <c r="I10" s="347">
        <f>'BRA ICTRs'!I12+'BRA ICTRs'!I17</f>
        <v>0</v>
      </c>
      <c r="J10" s="211">
        <f>G10-H10-I10</f>
        <v>1263.9691395559205</v>
      </c>
      <c r="K10" s="134"/>
      <c r="N10" s="9"/>
    </row>
    <row r="11" spans="1:14" ht="13.5" thickBot="1">
      <c r="A11" s="212" t="s">
        <v>185</v>
      </c>
      <c r="B11" s="213">
        <f>'BRA Load Pricing Results'!K40</f>
        <v>15121.11342734487</v>
      </c>
      <c r="C11" s="213">
        <f>'BRA Load Pricing Results'!C32</f>
        <v>8672.2</v>
      </c>
      <c r="D11" s="108">
        <f>'BRA Load Pricing Results'!H40</f>
        <v>362.3551611101677</v>
      </c>
      <c r="E11" s="268">
        <f>B11-C11-D11-78.349087799316</f>
        <v>6008.209178435385</v>
      </c>
      <c r="F11" s="108">
        <f>IF('BRA Resource Clearing Results'!D68+'BRA Resource Clearing Results'!D69=0,0,('BRA Resource Clearing Results'!D68+'BRA Resource Clearing Results'!D69)/'BRA Load Pricing Results'!D32)</f>
        <v>0</v>
      </c>
      <c r="G11" s="108">
        <f>E11-F11</f>
        <v>6008.209178435385</v>
      </c>
      <c r="H11" s="348">
        <v>0</v>
      </c>
      <c r="I11" s="348">
        <v>0</v>
      </c>
      <c r="J11" s="214">
        <f>G11-H11-I11</f>
        <v>6008.209178435385</v>
      </c>
      <c r="K11" s="134"/>
      <c r="N11" s="9"/>
    </row>
    <row r="12" spans="1:14" ht="12.75">
      <c r="A12" s="32" t="s">
        <v>24</v>
      </c>
      <c r="B12" s="40"/>
      <c r="C12" s="40"/>
      <c r="D12" s="18"/>
      <c r="E12" s="10" t="s">
        <v>133</v>
      </c>
      <c r="F12" s="18"/>
      <c r="G12" s="26"/>
      <c r="H12" s="20"/>
      <c r="I12" s="26"/>
      <c r="J12" s="25"/>
      <c r="K12" s="55"/>
      <c r="N12" s="9"/>
    </row>
    <row r="13" spans="1:14" ht="12.75" customHeight="1" thickBot="1">
      <c r="A13" s="32"/>
      <c r="B13" s="40"/>
      <c r="C13" s="40"/>
      <c r="D13" s="18"/>
      <c r="E13" s="186"/>
      <c r="F13" s="18"/>
      <c r="G13" s="26"/>
      <c r="H13" s="20"/>
      <c r="I13" s="26"/>
      <c r="J13" s="25"/>
      <c r="K13" s="55"/>
      <c r="N13" s="9"/>
    </row>
    <row r="14" spans="1:19" ht="15" customHeight="1" thickBot="1">
      <c r="A14" s="356" t="s">
        <v>115</v>
      </c>
      <c r="B14" s="357"/>
      <c r="C14" s="357"/>
      <c r="D14" s="358"/>
      <c r="E14" s="54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5">
      <c r="A15" s="359"/>
      <c r="B15" s="360"/>
      <c r="C15" s="360"/>
      <c r="D15" s="361"/>
      <c r="E15" s="354" t="s">
        <v>30</v>
      </c>
      <c r="F15" s="355"/>
      <c r="G15" s="354" t="s">
        <v>41</v>
      </c>
      <c r="H15" s="355"/>
      <c r="I15" s="354" t="s">
        <v>5</v>
      </c>
      <c r="J15" s="355"/>
      <c r="K15" s="354" t="s">
        <v>48</v>
      </c>
      <c r="L15" s="355"/>
      <c r="M15" s="354" t="s">
        <v>46</v>
      </c>
      <c r="N15" s="355"/>
      <c r="O15" s="354" t="s">
        <v>15</v>
      </c>
      <c r="P15" s="355"/>
      <c r="Q15" s="354" t="s">
        <v>185</v>
      </c>
      <c r="R15" s="355"/>
      <c r="S15" s="22"/>
      <c r="T15" s="22"/>
      <c r="U15" s="22"/>
    </row>
    <row r="16" spans="1:22" ht="30.75" customHeight="1" thickBot="1">
      <c r="A16" s="362"/>
      <c r="B16" s="363"/>
      <c r="C16" s="363"/>
      <c r="D16" s="364"/>
      <c r="E16" s="215" t="s">
        <v>49</v>
      </c>
      <c r="F16" s="216">
        <f>'BRA Resource Clearing Results'!C6</f>
        <v>59.76</v>
      </c>
      <c r="G16" s="215" t="s">
        <v>49</v>
      </c>
      <c r="H16" s="216">
        <f>'BRA Resource Clearing Results'!C7</f>
        <v>0</v>
      </c>
      <c r="I16" s="215" t="s">
        <v>49</v>
      </c>
      <c r="J16" s="217">
        <f>'BRA Resource Clearing Results'!C8</f>
        <v>0</v>
      </c>
      <c r="K16" s="215" t="s">
        <v>49</v>
      </c>
      <c r="L16" s="216">
        <f>'BRA Load Pricing Results'!D26</f>
        <v>99.87000000000002</v>
      </c>
      <c r="M16" s="215" t="s">
        <v>49</v>
      </c>
      <c r="N16" s="218">
        <f>'BRA Load Pricing Results'!D29</f>
        <v>0</v>
      </c>
      <c r="O16" s="215" t="s">
        <v>49</v>
      </c>
      <c r="P16" s="218">
        <f>'BRA Resource Clearing Results'!C12</f>
        <v>0</v>
      </c>
      <c r="Q16" s="215" t="s">
        <v>49</v>
      </c>
      <c r="R16" s="218">
        <f>'BRA Load Pricing Results'!D32</f>
        <v>35.07999999999999</v>
      </c>
      <c r="S16" s="22"/>
      <c r="T16" s="22"/>
      <c r="U16" s="22"/>
      <c r="V16" s="19"/>
    </row>
    <row r="17" spans="1:23" ht="111.75" customHeight="1">
      <c r="A17" s="219" t="s">
        <v>7</v>
      </c>
      <c r="B17" s="82" t="s">
        <v>28</v>
      </c>
      <c r="C17" s="82" t="s">
        <v>27</v>
      </c>
      <c r="D17" s="220" t="s">
        <v>36</v>
      </c>
      <c r="E17" s="81" t="s">
        <v>102</v>
      </c>
      <c r="F17" s="220" t="s">
        <v>116</v>
      </c>
      <c r="G17" s="81" t="s">
        <v>103</v>
      </c>
      <c r="H17" s="220" t="s">
        <v>116</v>
      </c>
      <c r="I17" s="81" t="s">
        <v>102</v>
      </c>
      <c r="J17" s="220" t="s">
        <v>116</v>
      </c>
      <c r="K17" s="81" t="s">
        <v>104</v>
      </c>
      <c r="L17" s="220" t="s">
        <v>116</v>
      </c>
      <c r="M17" s="81" t="s">
        <v>105</v>
      </c>
      <c r="N17" s="220" t="s">
        <v>116</v>
      </c>
      <c r="O17" s="81" t="s">
        <v>102</v>
      </c>
      <c r="P17" s="220" t="s">
        <v>116</v>
      </c>
      <c r="Q17" s="81" t="s">
        <v>102</v>
      </c>
      <c r="R17" s="220" t="s">
        <v>116</v>
      </c>
      <c r="S17" s="81" t="s">
        <v>111</v>
      </c>
      <c r="T17" s="82" t="s">
        <v>117</v>
      </c>
      <c r="U17" s="82" t="s">
        <v>58</v>
      </c>
      <c r="V17" s="220" t="s">
        <v>112</v>
      </c>
      <c r="W17" s="17"/>
    </row>
    <row r="18" spans="1:23" ht="12.75">
      <c r="A18" s="127" t="s">
        <v>16</v>
      </c>
      <c r="B18" s="80" t="s">
        <v>30</v>
      </c>
      <c r="C18" s="80" t="s">
        <v>41</v>
      </c>
      <c r="D18" s="221"/>
      <c r="E18" s="223">
        <f>IF(B18="MAAC",$J$5*'BRA Load Pricing Results'!K37/'BRA Load Pricing Results'!$B$16,0)</f>
        <v>12.735367802637136</v>
      </c>
      <c r="F18" s="224">
        <f>E18*$F$16</f>
        <v>761.0655798855952</v>
      </c>
      <c r="G18" s="223">
        <f>IF(C18="EMAAC",$J$6*'BRA Load Pricing Results'!K37/'BRA Load Pricing Results'!$B$17,0)</f>
        <v>379.75580070589467</v>
      </c>
      <c r="H18" s="224">
        <f>G18*$H$16</f>
        <v>0</v>
      </c>
      <c r="I18" s="223">
        <f>IF(C18="SWMAAC",$J$7*'BRA Load Pricing Results'!K37/'BRA Load Pricing Results'!$B$18,0)</f>
        <v>0</v>
      </c>
      <c r="J18" s="224">
        <f>I18*$J$16</f>
        <v>0</v>
      </c>
      <c r="K18" s="223">
        <f>IF(D18="PS",$J$8*'BRA Load Pricing Results'!K37/'BRA Load Pricing Results'!$K$55,0)</f>
        <v>0</v>
      </c>
      <c r="L18" s="224">
        <f>K18*$L$16</f>
        <v>0</v>
      </c>
      <c r="M18" s="223">
        <f>IF(D18="DPL",$J$9*'BRA Load Pricing Results'!K37/'BRA Load Pricing Results'!$K$47,0)</f>
        <v>0</v>
      </c>
      <c r="N18" s="224">
        <f>M18*$N$16</f>
        <v>0</v>
      </c>
      <c r="O18" s="223">
        <f>IF(D18="PEPCO",$J$10*'BRA Load Pricing Results'!K37/'BRA Load Pricing Results'!$K$53,0)</f>
        <v>0</v>
      </c>
      <c r="P18" s="224">
        <f>O18*$P$16</f>
        <v>0</v>
      </c>
      <c r="Q18" s="223">
        <f>IF(D18="ATSI",$J$11*'BRA Load Pricing Results'!K37/'BRA Load Pricing Results'!$K$40,0)</f>
        <v>0</v>
      </c>
      <c r="R18" s="224">
        <f>Q18*$R$16</f>
        <v>0</v>
      </c>
      <c r="S18" s="226">
        <f>MAX(E18,G18,I18,K18,M18,O18,Q18)</f>
        <v>379.75580070589467</v>
      </c>
      <c r="T18" s="59">
        <f>F18+H18+J18+L18+N18+P18+R18</f>
        <v>761.0655798855952</v>
      </c>
      <c r="U18" s="59">
        <f>T18/'BRA Load Pricing Results'!K37</f>
        <v>0.24053015200786307</v>
      </c>
      <c r="V18" s="227">
        <f>IF(S18=0,0,T18/S18)</f>
        <v>2.004092046707166</v>
      </c>
      <c r="W18" s="15"/>
    </row>
    <row r="19" spans="1:23" ht="12.75">
      <c r="A19" s="127" t="s">
        <v>32</v>
      </c>
      <c r="B19" s="80"/>
      <c r="C19" s="80"/>
      <c r="D19" s="221"/>
      <c r="E19" s="223">
        <f>IF(B19="MAAC",$J$5*'BRA Load Pricing Results'!K38/'BRA Load Pricing Results'!$B$16,0)</f>
        <v>0</v>
      </c>
      <c r="F19" s="224">
        <f aca="true" t="shared" si="1" ref="F19:F27">E19*$F$16</f>
        <v>0</v>
      </c>
      <c r="G19" s="223">
        <f>IF(C19="EMAAC",$J$6*'BRA Load Pricing Results'!K38/'BRA Load Pricing Results'!$B$17,0)</f>
        <v>0</v>
      </c>
      <c r="H19" s="224">
        <f>G19*$H$16</f>
        <v>0</v>
      </c>
      <c r="I19" s="223">
        <f>IF(C19="SWMAAC",$J$7*'BRA Load Pricing Results'!K38/'BRA Load Pricing Results'!$B$18,0)</f>
        <v>0</v>
      </c>
      <c r="J19" s="224">
        <f>I19*$J$16</f>
        <v>0</v>
      </c>
      <c r="K19" s="223">
        <f>IF(D19="PS",$J$8*'BRA Load Pricing Results'!K38/'BRA Load Pricing Results'!$K$55,0)</f>
        <v>0</v>
      </c>
      <c r="L19" s="224">
        <f>K19*$L$16</f>
        <v>0</v>
      </c>
      <c r="M19" s="223">
        <f>IF(D19="DPL",$J$9*'BRA Load Pricing Results'!K38/'BRA Load Pricing Results'!$K$47,0)</f>
        <v>0</v>
      </c>
      <c r="N19" s="224">
        <f aca="true" t="shared" si="2" ref="N19:N33">M19*$N$16</f>
        <v>0</v>
      </c>
      <c r="O19" s="223">
        <f>IF(D19="PEPCO",$J$10*'BRA Load Pricing Results'!K38/'BRA Load Pricing Results'!$K$53,0)</f>
        <v>0</v>
      </c>
      <c r="P19" s="224">
        <f>O19*$P$16</f>
        <v>0</v>
      </c>
      <c r="Q19" s="223">
        <f>IF(D19="ATSI",$J$11*'BRA Load Pricing Results'!K38/'BRA Load Pricing Results'!$K$40,0)</f>
        <v>0</v>
      </c>
      <c r="R19" s="224">
        <f aca="true" t="shared" si="3" ref="R19:R37">Q19*$R$16</f>
        <v>0</v>
      </c>
      <c r="S19" s="226">
        <f aca="true" t="shared" si="4" ref="S19:S37">MAX(E19,G19,I19,K19,M19,O19,Q19)</f>
        <v>0</v>
      </c>
      <c r="T19" s="59">
        <f aca="true" t="shared" si="5" ref="T19:T30">F19+H19+J19+L19+N19+P19+R19</f>
        <v>0</v>
      </c>
      <c r="U19" s="59">
        <f>T19/'BRA Load Pricing Results'!K38</f>
        <v>0</v>
      </c>
      <c r="V19" s="227">
        <f>IF(S19=0,0,T19/S19)</f>
        <v>0</v>
      </c>
      <c r="W19" s="15"/>
    </row>
    <row r="20" spans="1:23" ht="12.75">
      <c r="A20" s="127" t="s">
        <v>19</v>
      </c>
      <c r="B20" s="80" t="s">
        <v>24</v>
      </c>
      <c r="C20" s="80"/>
      <c r="D20" s="221"/>
      <c r="E20" s="223">
        <f>IF(B20="MAAC",$J$5*'BRA Load Pricing Results'!K39/'BRA Load Pricing Results'!$B$16,0)</f>
        <v>0</v>
      </c>
      <c r="F20" s="224">
        <f t="shared" si="1"/>
        <v>0</v>
      </c>
      <c r="G20" s="223">
        <f>IF(C20="EMAAC",$J$6*'BRA Load Pricing Results'!K39/'BRA Load Pricing Results'!$B$17,0)</f>
        <v>0</v>
      </c>
      <c r="H20" s="224">
        <f>G20*$H$16</f>
        <v>0</v>
      </c>
      <c r="I20" s="223">
        <f>IF(C20="SWMAAC",$J$7*'BRA Load Pricing Results'!K39/'BRA Load Pricing Results'!$B$18,0)</f>
        <v>0</v>
      </c>
      <c r="J20" s="224">
        <f aca="true" t="shared" si="6" ref="J20:J37">I20*$J$16</f>
        <v>0</v>
      </c>
      <c r="K20" s="223">
        <f>IF(D20="PS",$J$8*'BRA Load Pricing Results'!K39/'BRA Load Pricing Results'!$K$55,0)</f>
        <v>0</v>
      </c>
      <c r="L20" s="224">
        <f>K20*$L$16</f>
        <v>0</v>
      </c>
      <c r="M20" s="223">
        <f>IF(D20="DPL",$J$9*'BRA Load Pricing Results'!K39/'BRA Load Pricing Results'!$K$47,0)</f>
        <v>0</v>
      </c>
      <c r="N20" s="224">
        <f t="shared" si="2"/>
        <v>0</v>
      </c>
      <c r="O20" s="223">
        <f>IF(D20="PEPCO",$J$10*'BRA Load Pricing Results'!K39/'BRA Load Pricing Results'!$K$53,0)</f>
        <v>0</v>
      </c>
      <c r="P20" s="224">
        <f>O20*$P$16</f>
        <v>0</v>
      </c>
      <c r="Q20" s="223">
        <f>IF(D20="ATSI",$J$11*'BRA Load Pricing Results'!K39/'BRA Load Pricing Results'!$K$40,0)</f>
        <v>0</v>
      </c>
      <c r="R20" s="224">
        <f t="shared" si="3"/>
        <v>0</v>
      </c>
      <c r="S20" s="226">
        <f t="shared" si="4"/>
        <v>0</v>
      </c>
      <c r="T20" s="59">
        <f t="shared" si="5"/>
        <v>0</v>
      </c>
      <c r="U20" s="59">
        <f>T20/'BRA Load Pricing Results'!K39</f>
        <v>0</v>
      </c>
      <c r="V20" s="227">
        <f>IF(S20=0,0,T20/S20)</f>
        <v>0</v>
      </c>
      <c r="W20" s="15"/>
    </row>
    <row r="21" spans="1:23" ht="12.75">
      <c r="A21" s="127" t="s">
        <v>51</v>
      </c>
      <c r="B21" s="80"/>
      <c r="C21" s="80"/>
      <c r="D21" s="221" t="s">
        <v>51</v>
      </c>
      <c r="E21" s="223">
        <f>IF(B21="MAAC",$J$5*'BRA Load Pricing Results'!K40/'BRA Load Pricing Results'!$B$16,0)</f>
        <v>0</v>
      </c>
      <c r="F21" s="224">
        <f t="shared" si="1"/>
        <v>0</v>
      </c>
      <c r="G21" s="223">
        <f>IF(C21="EMAAC",$J$6*'BRA Load Pricing Results'!K40/'BRA Load Pricing Results'!$B$17,0)</f>
        <v>0</v>
      </c>
      <c r="H21" s="224">
        <f>G21*$H$16</f>
        <v>0</v>
      </c>
      <c r="I21" s="223">
        <f>IF(C21="SWMAAC",$J$7*'BRA Load Pricing Results'!K40/'BRA Load Pricing Results'!$B$18,0)</f>
        <v>0</v>
      </c>
      <c r="J21" s="224">
        <f t="shared" si="6"/>
        <v>0</v>
      </c>
      <c r="K21" s="223">
        <f>IF(D21="PS",$J$8*'BRA Load Pricing Results'!K40/'BRA Load Pricing Results'!$K$55,0)</f>
        <v>0</v>
      </c>
      <c r="L21" s="224">
        <f aca="true" t="shared" si="7" ref="L21:L37">K21*$L$16</f>
        <v>0</v>
      </c>
      <c r="M21" s="223">
        <f>IF(D21="DPL",$J$9*'BRA Load Pricing Results'!K40/'BRA Load Pricing Results'!$K$47,0)</f>
        <v>0</v>
      </c>
      <c r="N21" s="224">
        <f t="shared" si="2"/>
        <v>0</v>
      </c>
      <c r="O21" s="223">
        <f>IF(D21="PEPCO",$J$10*'BRA Load Pricing Results'!K40/'BRA Load Pricing Results'!$K$53,0)</f>
        <v>0</v>
      </c>
      <c r="P21" s="224">
        <f aca="true" t="shared" si="8" ref="P21:P33">O21*$P$16</f>
        <v>0</v>
      </c>
      <c r="Q21" s="223">
        <f>IF(D21="ATSI",$J$11*'BRA Load Pricing Results'!K40/'BRA Load Pricing Results'!$K$40,0)</f>
        <v>6008.209178435385</v>
      </c>
      <c r="R21" s="224">
        <f>Q21*$R$16</f>
        <v>210767.97797951326</v>
      </c>
      <c r="S21" s="226">
        <f t="shared" si="4"/>
        <v>6008.209178435385</v>
      </c>
      <c r="T21" s="59">
        <f t="shared" si="5"/>
        <v>210767.97797951326</v>
      </c>
      <c r="U21" s="59">
        <f>T21/'BRA Load Pricing Results'!K40</f>
        <v>13.938654649489141</v>
      </c>
      <c r="V21" s="227">
        <f>IF(S21=0,0,T21/S21)</f>
        <v>35.07999999999999</v>
      </c>
      <c r="W21" s="15"/>
    </row>
    <row r="22" spans="1:23" ht="12.75">
      <c r="A22" s="127" t="s">
        <v>11</v>
      </c>
      <c r="B22" s="80" t="s">
        <v>30</v>
      </c>
      <c r="C22" s="80" t="s">
        <v>5</v>
      </c>
      <c r="D22" s="221"/>
      <c r="E22" s="223">
        <f>IF(B22="MAAC",$J$5*'BRA Load Pricing Results'!K41/'BRA Load Pricing Results'!$B$16,0)</f>
        <v>33.36281831258787</v>
      </c>
      <c r="F22" s="224">
        <f>E22*$F$16</f>
        <v>1993.762022360251</v>
      </c>
      <c r="G22" s="223">
        <f>IF(C22="EMAAC",$J$6*'BRA Load Pricing Results'!K41/'BRA Load Pricing Results'!$B$17,0)</f>
        <v>0</v>
      </c>
      <c r="H22" s="224">
        <f aca="true" t="shared" si="9" ref="H22:H35">G22*$H$16</f>
        <v>0</v>
      </c>
      <c r="I22" s="223">
        <f>IF(C22="SWMAAC",$J$7*'BRA Load Pricing Results'!K41/'BRA Load Pricing Results'!$B$18,0)</f>
        <v>1504.3999994552</v>
      </c>
      <c r="J22" s="224">
        <f>I22*$J$16</f>
        <v>0</v>
      </c>
      <c r="K22" s="223">
        <f>IF(D22="PS",$J$8*'BRA Load Pricing Results'!K41/'BRA Load Pricing Results'!$K$55,0)</f>
        <v>0</v>
      </c>
      <c r="L22" s="224">
        <f t="shared" si="7"/>
        <v>0</v>
      </c>
      <c r="M22" s="223">
        <f>IF(D22="DPL",$J$9*'BRA Load Pricing Results'!K41/'BRA Load Pricing Results'!$K$47,0)</f>
        <v>0</v>
      </c>
      <c r="N22" s="224">
        <f t="shared" si="2"/>
        <v>0</v>
      </c>
      <c r="O22" s="223">
        <f>IF(D22="PEPCO",$J$10*'BRA Load Pricing Results'!K41/'BRA Load Pricing Results'!$K$53,0)</f>
        <v>0</v>
      </c>
      <c r="P22" s="224">
        <f t="shared" si="8"/>
        <v>0</v>
      </c>
      <c r="Q22" s="223">
        <f>IF(D22="ATSI",$J$11*'BRA Load Pricing Results'!K41/'BRA Load Pricing Results'!$K$40,0)</f>
        <v>0</v>
      </c>
      <c r="R22" s="224">
        <f t="shared" si="3"/>
        <v>0</v>
      </c>
      <c r="S22" s="226">
        <f t="shared" si="4"/>
        <v>1504.3999994552</v>
      </c>
      <c r="T22" s="59">
        <f t="shared" si="5"/>
        <v>1993.762022360251</v>
      </c>
      <c r="U22" s="59">
        <f>T22/'BRA Load Pricing Results'!K41</f>
        <v>0.24053015200786307</v>
      </c>
      <c r="V22" s="227">
        <f>IF(S22=0,0,T22/S22)</f>
        <v>1.325287173014004</v>
      </c>
      <c r="W22" s="15"/>
    </row>
    <row r="23" spans="1:23" ht="12.75">
      <c r="A23" s="127" t="s">
        <v>20</v>
      </c>
      <c r="B23" s="80"/>
      <c r="C23" s="80"/>
      <c r="D23" s="221"/>
      <c r="E23" s="223">
        <f>IF(B23="MAAC",$J$5*'BRA Load Pricing Results'!K42/'BRA Load Pricing Results'!$B$16,0)</f>
        <v>0</v>
      </c>
      <c r="F23" s="224">
        <f t="shared" si="1"/>
        <v>0</v>
      </c>
      <c r="G23" s="223">
        <f>IF(C23="EMAAC",$J$6*'BRA Load Pricing Results'!K42/'BRA Load Pricing Results'!$B$17,0)</f>
        <v>0</v>
      </c>
      <c r="H23" s="224">
        <f t="shared" si="9"/>
        <v>0</v>
      </c>
      <c r="I23" s="223">
        <f>IF(C23="SWMAAC",$J$7*'BRA Load Pricing Results'!K42/'BRA Load Pricing Results'!$B$18,0)</f>
        <v>0</v>
      </c>
      <c r="J23" s="224">
        <f t="shared" si="6"/>
        <v>0</v>
      </c>
      <c r="K23" s="223">
        <f>IF(D23="PS",$J$8*'BRA Load Pricing Results'!K42/'BRA Load Pricing Results'!$K$55,0)</f>
        <v>0</v>
      </c>
      <c r="L23" s="224">
        <f t="shared" si="7"/>
        <v>0</v>
      </c>
      <c r="M23" s="223">
        <f>IF(D23="DPL",$J$9*'BRA Load Pricing Results'!K42/'BRA Load Pricing Results'!$K$47,0)</f>
        <v>0</v>
      </c>
      <c r="N23" s="224">
        <f t="shared" si="2"/>
        <v>0</v>
      </c>
      <c r="O23" s="223">
        <f>IF(D23="PEPCO",$J$10*'BRA Load Pricing Results'!K42/'BRA Load Pricing Results'!$K$53,0)</f>
        <v>0</v>
      </c>
      <c r="P23" s="224">
        <f t="shared" si="8"/>
        <v>0</v>
      </c>
      <c r="Q23" s="223">
        <f>IF(D23="ATSI",$J$11*'BRA Load Pricing Results'!K42/'BRA Load Pricing Results'!$K$40,0)</f>
        <v>0</v>
      </c>
      <c r="R23" s="224">
        <f t="shared" si="3"/>
        <v>0</v>
      </c>
      <c r="S23" s="226">
        <f t="shared" si="4"/>
        <v>0</v>
      </c>
      <c r="T23" s="59">
        <f t="shared" si="5"/>
        <v>0</v>
      </c>
      <c r="U23" s="59">
        <f>T23/'BRA Load Pricing Results'!K42</f>
        <v>0</v>
      </c>
      <c r="V23" s="227">
        <f aca="true" t="shared" si="10" ref="V23:V37">IF(S23=0,0,T23/S23)</f>
        <v>0</v>
      </c>
      <c r="W23" s="15"/>
    </row>
    <row r="24" spans="1:23" ht="12.75">
      <c r="A24" s="127" t="s">
        <v>21</v>
      </c>
      <c r="B24" s="80"/>
      <c r="C24" s="80"/>
      <c r="D24" s="221"/>
      <c r="E24" s="223">
        <f>IF(B24="MAAC",$J$5*'BRA Load Pricing Results'!K43/'BRA Load Pricing Results'!$B$16,0)</f>
        <v>0</v>
      </c>
      <c r="F24" s="224">
        <f t="shared" si="1"/>
        <v>0</v>
      </c>
      <c r="G24" s="223">
        <f>IF(C24="EMAAC",$J$6*'BRA Load Pricing Results'!K43/'BRA Load Pricing Results'!$B$17,0)</f>
        <v>0</v>
      </c>
      <c r="H24" s="224">
        <f>G24*$H$16</f>
        <v>0</v>
      </c>
      <c r="I24" s="223">
        <f>IF(C24="SWMAAC",$J$7*'BRA Load Pricing Results'!K43/'BRA Load Pricing Results'!$B$18,0)</f>
        <v>0</v>
      </c>
      <c r="J24" s="224">
        <f>I24*$J$16</f>
        <v>0</v>
      </c>
      <c r="K24" s="223">
        <f>IF(D24="PS",$J$8*'BRA Load Pricing Results'!K43/'BRA Load Pricing Results'!$K$55,0)</f>
        <v>0</v>
      </c>
      <c r="L24" s="224">
        <f t="shared" si="7"/>
        <v>0</v>
      </c>
      <c r="M24" s="223">
        <f>IF(D24="DPL",$J$9*'BRA Load Pricing Results'!K43/'BRA Load Pricing Results'!$K$47,0)</f>
        <v>0</v>
      </c>
      <c r="N24" s="224">
        <f t="shared" si="2"/>
        <v>0</v>
      </c>
      <c r="O24" s="223">
        <f>IF(D24="PEPCO",$J$10*'BRA Load Pricing Results'!K43/'BRA Load Pricing Results'!$K$53,0)</f>
        <v>0</v>
      </c>
      <c r="P24" s="224">
        <f t="shared" si="8"/>
        <v>0</v>
      </c>
      <c r="Q24" s="223">
        <f>IF(D24="ATSI",$J$11*'BRA Load Pricing Results'!K43/'BRA Load Pricing Results'!$K$40,0)</f>
        <v>0</v>
      </c>
      <c r="R24" s="224">
        <f t="shared" si="3"/>
        <v>0</v>
      </c>
      <c r="S24" s="226">
        <f t="shared" si="4"/>
        <v>0</v>
      </c>
      <c r="T24" s="59">
        <f t="shared" si="5"/>
        <v>0</v>
      </c>
      <c r="U24" s="59">
        <f>T24/'BRA Load Pricing Results'!K43</f>
        <v>0</v>
      </c>
      <c r="V24" s="227">
        <f t="shared" si="10"/>
        <v>0</v>
      </c>
      <c r="W24" s="15"/>
    </row>
    <row r="25" spans="1:23" ht="12.75">
      <c r="A25" s="127" t="s">
        <v>65</v>
      </c>
      <c r="B25" s="80"/>
      <c r="C25" s="80"/>
      <c r="D25" s="221"/>
      <c r="E25" s="223">
        <f>IF(B25="MAAC",$J$5*'BRA Load Pricing Results'!K44/'BRA Load Pricing Results'!$B$16,0)</f>
        <v>0</v>
      </c>
      <c r="F25" s="224">
        <f t="shared" si="1"/>
        <v>0</v>
      </c>
      <c r="G25" s="223">
        <f>IF(C25="EMAAC",$J$6*'BRA Load Pricing Results'!K44/'BRA Load Pricing Results'!$B$17,0)</f>
        <v>0</v>
      </c>
      <c r="H25" s="224">
        <f>G25*$H$16</f>
        <v>0</v>
      </c>
      <c r="I25" s="223">
        <f>IF(C25="SWMAAC",$J$7*'BRA Load Pricing Results'!K44/'BRA Load Pricing Results'!$B$18,0)</f>
        <v>0</v>
      </c>
      <c r="J25" s="224">
        <f>I25*$J$16</f>
        <v>0</v>
      </c>
      <c r="K25" s="223">
        <f>IF(D25="PS",$J$8*'BRA Load Pricing Results'!K44/'BRA Load Pricing Results'!$K$55,0)</f>
        <v>0</v>
      </c>
      <c r="L25" s="224">
        <f>K25*$L$16</f>
        <v>0</v>
      </c>
      <c r="M25" s="223">
        <f>IF(D25="DPL",$J$9*'BRA Load Pricing Results'!K44/'BRA Load Pricing Results'!$K$47,0)</f>
        <v>0</v>
      </c>
      <c r="N25" s="224">
        <f>M25*$N$16</f>
        <v>0</v>
      </c>
      <c r="O25" s="223">
        <f>IF(D25="PEPCO",$J$10*'BRA Load Pricing Results'!K44/'BRA Load Pricing Results'!$K$53,0)</f>
        <v>0</v>
      </c>
      <c r="P25" s="224">
        <f>O25*$P$16</f>
        <v>0</v>
      </c>
      <c r="Q25" s="223">
        <f>IF(D25="ATSI",$J$11*'BRA Load Pricing Results'!K44/'BRA Load Pricing Results'!$K$40,0)</f>
        <v>0</v>
      </c>
      <c r="R25" s="224">
        <f t="shared" si="3"/>
        <v>0</v>
      </c>
      <c r="S25" s="226">
        <f t="shared" si="4"/>
        <v>0</v>
      </c>
      <c r="T25" s="59">
        <f t="shared" si="5"/>
        <v>0</v>
      </c>
      <c r="U25" s="59">
        <f>T25/'BRA Load Pricing Results'!K44</f>
        <v>0</v>
      </c>
      <c r="V25" s="227">
        <f t="shared" si="10"/>
        <v>0</v>
      </c>
      <c r="W25" s="15"/>
    </row>
    <row r="26" spans="1:23" ht="12.75">
      <c r="A26" s="127" t="s">
        <v>50</v>
      </c>
      <c r="B26" s="80"/>
      <c r="C26" s="80"/>
      <c r="D26" s="221"/>
      <c r="E26" s="223">
        <f>IF(B26="MAAC",$J$5*'BRA Load Pricing Results'!K45/'BRA Load Pricing Results'!$B$16,0)</f>
        <v>0</v>
      </c>
      <c r="F26" s="224">
        <f t="shared" si="1"/>
        <v>0</v>
      </c>
      <c r="G26" s="223">
        <f>IF(C26="EMAAC",$J$6*'BRA Load Pricing Results'!K45/'BRA Load Pricing Results'!$B$17,0)</f>
        <v>0</v>
      </c>
      <c r="H26" s="224">
        <f>G26*$H$16</f>
        <v>0</v>
      </c>
      <c r="I26" s="223">
        <f>IF(C26="SWMAAC",$J$7*'BRA Load Pricing Results'!K45/'BRA Load Pricing Results'!$B$18,0)</f>
        <v>0</v>
      </c>
      <c r="J26" s="224">
        <f>I26*$J$16</f>
        <v>0</v>
      </c>
      <c r="K26" s="223">
        <f>IF(D26="PS",$J$8*'BRA Load Pricing Results'!K45/'BRA Load Pricing Results'!$K$55,0)</f>
        <v>0</v>
      </c>
      <c r="L26" s="224">
        <f>K26*$L$16</f>
        <v>0</v>
      </c>
      <c r="M26" s="223">
        <f>IF(D26="DPL",$J$9*'BRA Load Pricing Results'!K45/'BRA Load Pricing Results'!$K$47,0)</f>
        <v>0</v>
      </c>
      <c r="N26" s="224">
        <f>M26*$N$16</f>
        <v>0</v>
      </c>
      <c r="O26" s="223">
        <f>IF(D26="PEPCO",$J$10*'BRA Load Pricing Results'!#REF!/'BRA Load Pricing Results'!$K$53,0)</f>
        <v>0</v>
      </c>
      <c r="P26" s="224">
        <f>O26*$P$16</f>
        <v>0</v>
      </c>
      <c r="Q26" s="223">
        <f>IF(D26="ATSI",$J$11*'BRA Load Pricing Results'!K45/'BRA Load Pricing Results'!$K$40,0)</f>
        <v>0</v>
      </c>
      <c r="R26" s="224">
        <f t="shared" si="3"/>
        <v>0</v>
      </c>
      <c r="S26" s="226">
        <f t="shared" si="4"/>
        <v>0</v>
      </c>
      <c r="T26" s="59">
        <f t="shared" si="5"/>
        <v>0</v>
      </c>
      <c r="U26" s="59">
        <f>T26/'BRA Load Pricing Results'!K45</f>
        <v>0</v>
      </c>
      <c r="V26" s="227">
        <f t="shared" si="10"/>
        <v>0</v>
      </c>
      <c r="W26" s="15"/>
    </row>
    <row r="27" spans="1:23" ht="12.75">
      <c r="A27" s="127" t="s">
        <v>33</v>
      </c>
      <c r="B27" s="80"/>
      <c r="C27" s="80"/>
      <c r="D27" s="221"/>
      <c r="E27" s="223">
        <f>IF(B27="MAAC",$J$5*'BRA Load Pricing Results'!K46/'BRA Load Pricing Results'!$B$16,0)</f>
        <v>0</v>
      </c>
      <c r="F27" s="224">
        <f t="shared" si="1"/>
        <v>0</v>
      </c>
      <c r="G27" s="223">
        <f>IF(C27="EMAAC",$J$6*'BRA Load Pricing Results'!K46/'BRA Load Pricing Results'!$B$17,0)</f>
        <v>0</v>
      </c>
      <c r="H27" s="224">
        <f t="shared" si="9"/>
        <v>0</v>
      </c>
      <c r="I27" s="223">
        <f>IF(C27="SWMAAC",$J$7*'BRA Load Pricing Results'!K46/'BRA Load Pricing Results'!$B$18,0)</f>
        <v>0</v>
      </c>
      <c r="J27" s="224">
        <f t="shared" si="6"/>
        <v>0</v>
      </c>
      <c r="K27" s="223">
        <f>IF(D27="PS",$J$8*'BRA Load Pricing Results'!K46/'BRA Load Pricing Results'!$K$55,0)</f>
        <v>0</v>
      </c>
      <c r="L27" s="224">
        <f t="shared" si="7"/>
        <v>0</v>
      </c>
      <c r="M27" s="223">
        <f>IF(D27="DPL",$J$9*'BRA Load Pricing Results'!K46/'BRA Load Pricing Results'!$K$47,0)</f>
        <v>0</v>
      </c>
      <c r="N27" s="224">
        <f t="shared" si="2"/>
        <v>0</v>
      </c>
      <c r="O27" s="223">
        <f>IF(D27="PEPCO",$J$10*'BRA Load Pricing Results'!K46/'BRA Load Pricing Results'!$K$53,0)</f>
        <v>0</v>
      </c>
      <c r="P27" s="224">
        <f t="shared" si="8"/>
        <v>0</v>
      </c>
      <c r="Q27" s="223">
        <f>IF(D27="ATSI",$J$11*'BRA Load Pricing Results'!K46/'BRA Load Pricing Results'!$K$40,0)</f>
        <v>0</v>
      </c>
      <c r="R27" s="224">
        <f t="shared" si="3"/>
        <v>0</v>
      </c>
      <c r="S27" s="226">
        <f t="shared" si="4"/>
        <v>0</v>
      </c>
      <c r="T27" s="59">
        <f t="shared" si="5"/>
        <v>0</v>
      </c>
      <c r="U27" s="59">
        <f>T27/'BRA Load Pricing Results'!K46</f>
        <v>0</v>
      </c>
      <c r="V27" s="227">
        <f t="shared" si="10"/>
        <v>0</v>
      </c>
      <c r="W27" s="15"/>
    </row>
    <row r="28" spans="1:23" ht="12.75">
      <c r="A28" s="127" t="s">
        <v>17</v>
      </c>
      <c r="B28" s="80" t="s">
        <v>30</v>
      </c>
      <c r="C28" s="80" t="s">
        <v>41</v>
      </c>
      <c r="D28" s="221" t="s">
        <v>17</v>
      </c>
      <c r="E28" s="223">
        <f>IF(B28="MAAC",$J$5*'BRA Load Pricing Results'!K47/'BRA Load Pricing Results'!$B$16,0)</f>
        <v>19.28158489745062</v>
      </c>
      <c r="F28" s="224">
        <f aca="true" t="shared" si="11" ref="F28:F37">E28*$F$16</f>
        <v>1152.2675134716492</v>
      </c>
      <c r="G28" s="223">
        <f>IF(C28="EMAAC",$J$6*'BRA Load Pricing Results'!K47/'BRA Load Pricing Results'!$B$17,0)</f>
        <v>574.9573805079901</v>
      </c>
      <c r="H28" s="224">
        <f>G28*$H$16</f>
        <v>0</v>
      </c>
      <c r="I28" s="223">
        <f>IF(C28="SWMAAC",$J$7*'BRA Load Pricing Results'!K47/'BRA Load Pricing Results'!$B$18,0)</f>
        <v>0</v>
      </c>
      <c r="J28" s="224">
        <f t="shared" si="6"/>
        <v>0</v>
      </c>
      <c r="K28" s="223">
        <f>IF(D28="PS",$J$8*'BRA Load Pricing Results'!K47/'BRA Load Pricing Results'!$K$55,0)</f>
        <v>0</v>
      </c>
      <c r="L28" s="224">
        <f t="shared" si="7"/>
        <v>0</v>
      </c>
      <c r="M28" s="223">
        <f>IF(D28="DPL",$J$9*'BRA Load Pricing Results'!K47/'BRA Load Pricing Results'!$K$47,0)</f>
        <v>0</v>
      </c>
      <c r="N28" s="224">
        <f t="shared" si="2"/>
        <v>0</v>
      </c>
      <c r="O28" s="223">
        <f>IF(D28="PEPCO",$J$10*'BRA Load Pricing Results'!K47/'BRA Load Pricing Results'!$K$53,0)</f>
        <v>0</v>
      </c>
      <c r="P28" s="224">
        <f t="shared" si="8"/>
        <v>0</v>
      </c>
      <c r="Q28" s="223">
        <f>IF(D28="ATSI",$J$11*'BRA Load Pricing Results'!K47/'BRA Load Pricing Results'!$K$40,0)</f>
        <v>0</v>
      </c>
      <c r="R28" s="224">
        <f t="shared" si="3"/>
        <v>0</v>
      </c>
      <c r="S28" s="226">
        <f t="shared" si="4"/>
        <v>574.9573805079901</v>
      </c>
      <c r="T28" s="59">
        <f t="shared" si="5"/>
        <v>1152.2675134716492</v>
      </c>
      <c r="U28" s="59">
        <f>T28/'BRA Load Pricing Results'!K47</f>
        <v>0.2405301520078631</v>
      </c>
      <c r="V28" s="227">
        <f t="shared" si="10"/>
        <v>2.0040920467071666</v>
      </c>
      <c r="W28" s="15"/>
    </row>
    <row r="29" spans="1:23" ht="12.75">
      <c r="A29" s="127" t="s">
        <v>191</v>
      </c>
      <c r="B29" s="80"/>
      <c r="C29" s="80"/>
      <c r="D29" s="221"/>
      <c r="E29" s="223">
        <f>IF(B29="MAAC",$J$5*'BRA Load Pricing Results'!K48/'BRA Load Pricing Results'!$B$16,0)</f>
        <v>0</v>
      </c>
      <c r="F29" s="224">
        <f t="shared" si="11"/>
        <v>0</v>
      </c>
      <c r="G29" s="223">
        <f>IF(C29="EMAAC",$J$6*'BRA Load Pricing Results'!K48/'BRA Load Pricing Results'!$B$17,0)</f>
        <v>0</v>
      </c>
      <c r="H29" s="224">
        <f>G29*$H$16</f>
        <v>0</v>
      </c>
      <c r="I29" s="223">
        <f>IF(C29="SWMAAC",$J$7*'BRA Load Pricing Results'!K48/'BRA Load Pricing Results'!$B$18,0)</f>
        <v>0</v>
      </c>
      <c r="J29" s="224">
        <f>I29*$J$16</f>
        <v>0</v>
      </c>
      <c r="K29" s="223">
        <f>IF(D29="PS",$J$8*'BRA Load Pricing Results'!K48/'BRA Load Pricing Results'!$K$55,0)</f>
        <v>0</v>
      </c>
      <c r="L29" s="224">
        <f>K29*$L$16</f>
        <v>0</v>
      </c>
      <c r="M29" s="223">
        <f>IF(D29="DPL",$J$9*'BRA Load Pricing Results'!K48/'BRA Load Pricing Results'!$K$47,0)</f>
        <v>0</v>
      </c>
      <c r="N29" s="224">
        <f>M29*$N$16</f>
        <v>0</v>
      </c>
      <c r="O29" s="223">
        <f>IF(D29="PEPCO",$J$10*'BRA Load Pricing Results'!K48/'BRA Load Pricing Results'!$K$53,0)</f>
        <v>0</v>
      </c>
      <c r="P29" s="224">
        <f>O29*$P$16</f>
        <v>0</v>
      </c>
      <c r="Q29" s="223">
        <f>IF(D29="ATSI",$J$11*'BRA Load Pricing Results'!K48/'BRA Load Pricing Results'!$K$40,0)</f>
        <v>0</v>
      </c>
      <c r="R29" s="224">
        <f>Q29*$R$16</f>
        <v>0</v>
      </c>
      <c r="S29" s="226">
        <f>MAX(E29,G29,I29,K29,M29,O29,Q29)</f>
        <v>0</v>
      </c>
      <c r="T29" s="59">
        <f>F29+H29+J29+L29+N29+P29+R29</f>
        <v>0</v>
      </c>
      <c r="U29" s="59">
        <f>T29/'BRA Load Pricing Results'!K48</f>
        <v>0</v>
      </c>
      <c r="V29" s="227">
        <f>IF(S29=0,0,T29/S29)</f>
        <v>0</v>
      </c>
      <c r="W29" s="15"/>
    </row>
    <row r="30" spans="1:23" ht="12.75">
      <c r="A30" s="127" t="s">
        <v>12</v>
      </c>
      <c r="B30" s="80" t="s">
        <v>30</v>
      </c>
      <c r="C30" s="80" t="s">
        <v>41</v>
      </c>
      <c r="D30" s="221"/>
      <c r="E30" s="223">
        <f>IF(B30="MAAC",$J$5*'BRA Load Pricing Results'!K49/'BRA Load Pricing Results'!$B$16,0)</f>
        <v>29.210777120283094</v>
      </c>
      <c r="F30" s="224">
        <f t="shared" si="11"/>
        <v>1745.6360407081177</v>
      </c>
      <c r="G30" s="223">
        <f>IF(C30="EMAAC",$J$6*'BRA Load Pricing Results'!K49/'BRA Load Pricing Results'!$B$17,0)</f>
        <v>871.035860641378</v>
      </c>
      <c r="H30" s="224">
        <f>G30*$H$16</f>
        <v>0</v>
      </c>
      <c r="I30" s="223">
        <f>IF(C30="SWMAAC",$J$7*'BRA Load Pricing Results'!K49/'BRA Load Pricing Results'!$B$18,0)</f>
        <v>0</v>
      </c>
      <c r="J30" s="224">
        <f t="shared" si="6"/>
        <v>0</v>
      </c>
      <c r="K30" s="223">
        <f>IF(D30="PS",$J$8*'BRA Load Pricing Results'!K49/'BRA Load Pricing Results'!$K$55,0)</f>
        <v>0</v>
      </c>
      <c r="L30" s="224">
        <f t="shared" si="7"/>
        <v>0</v>
      </c>
      <c r="M30" s="223">
        <f>IF(D30="DPL",$J$9*'BRA Load Pricing Results'!K49/'BRA Load Pricing Results'!$K$47,0)</f>
        <v>0</v>
      </c>
      <c r="N30" s="224">
        <f t="shared" si="2"/>
        <v>0</v>
      </c>
      <c r="O30" s="223">
        <f>IF(D30="PEPCO",$J$10*'BRA Load Pricing Results'!K49/'BRA Load Pricing Results'!$K$53,0)</f>
        <v>0</v>
      </c>
      <c r="P30" s="224">
        <f t="shared" si="8"/>
        <v>0</v>
      </c>
      <c r="Q30" s="223">
        <f>IF(D30="ATSI",$J$11*'BRA Load Pricing Results'!K49/'BRA Load Pricing Results'!$K$40,0)</f>
        <v>0</v>
      </c>
      <c r="R30" s="224">
        <f t="shared" si="3"/>
        <v>0</v>
      </c>
      <c r="S30" s="226">
        <f t="shared" si="4"/>
        <v>871.035860641378</v>
      </c>
      <c r="T30" s="59">
        <f t="shared" si="5"/>
        <v>1745.6360407081177</v>
      </c>
      <c r="U30" s="59">
        <f>T30/'BRA Load Pricing Results'!K49</f>
        <v>0.2405301520078631</v>
      </c>
      <c r="V30" s="227">
        <f t="shared" si="10"/>
        <v>2.0040920467071666</v>
      </c>
      <c r="W30" s="15"/>
    </row>
    <row r="31" spans="1:23" ht="12.75">
      <c r="A31" s="127" t="s">
        <v>13</v>
      </c>
      <c r="B31" s="80" t="s">
        <v>30</v>
      </c>
      <c r="C31" s="80"/>
      <c r="D31" s="221"/>
      <c r="E31" s="223">
        <f>IF(B31="MAAC",$J$5*'BRA Load Pricing Results'!K50/'BRA Load Pricing Results'!$B$16,0)</f>
        <v>14.044611221599832</v>
      </c>
      <c r="F31" s="224">
        <f t="shared" si="11"/>
        <v>839.3059666028059</v>
      </c>
      <c r="G31" s="223">
        <f>IF(C31="EMAAC",$J$6*'BRA Load Pricing Results'!K50/'BRA Load Pricing Results'!$B$17,0)</f>
        <v>0</v>
      </c>
      <c r="H31" s="224">
        <f t="shared" si="9"/>
        <v>0</v>
      </c>
      <c r="I31" s="223">
        <f>IF(C31="SWMAAC",$J$7*'BRA Load Pricing Results'!K50/'BRA Load Pricing Results'!$B$18,0)</f>
        <v>0</v>
      </c>
      <c r="J31" s="224">
        <f t="shared" si="6"/>
        <v>0</v>
      </c>
      <c r="K31" s="223">
        <f>IF(D31="PS",$J$8*'BRA Load Pricing Results'!K50/'BRA Load Pricing Results'!$K$55,0)</f>
        <v>0</v>
      </c>
      <c r="L31" s="224">
        <f t="shared" si="7"/>
        <v>0</v>
      </c>
      <c r="M31" s="223">
        <f>IF(D31="DPL",$J$9*'BRA Load Pricing Results'!K50/'BRA Load Pricing Results'!$K$47,0)</f>
        <v>0</v>
      </c>
      <c r="N31" s="224">
        <f t="shared" si="2"/>
        <v>0</v>
      </c>
      <c r="O31" s="223">
        <f>IF(D31="PEPCO",$J$10*'BRA Load Pricing Results'!K50/'BRA Load Pricing Results'!$K$53,0)</f>
        <v>0</v>
      </c>
      <c r="P31" s="224">
        <f t="shared" si="8"/>
        <v>0</v>
      </c>
      <c r="Q31" s="223">
        <f>IF(D31="ATSI",$J$11*'BRA Load Pricing Results'!K50/'BRA Load Pricing Results'!$K$40,0)</f>
        <v>0</v>
      </c>
      <c r="R31" s="224">
        <f t="shared" si="3"/>
        <v>0</v>
      </c>
      <c r="S31" s="226">
        <f t="shared" si="4"/>
        <v>14.044611221599832</v>
      </c>
      <c r="T31" s="59">
        <f aca="true" t="shared" si="12" ref="T31:T36">F31+H31+J31+L31+N31+P31+R31</f>
        <v>839.3059666028059</v>
      </c>
      <c r="U31" s="59">
        <f>T31/'BRA Load Pricing Results'!K50</f>
        <v>0.2405301520078631</v>
      </c>
      <c r="V31" s="227">
        <f t="shared" si="10"/>
        <v>59.76</v>
      </c>
      <c r="W31" s="15"/>
    </row>
    <row r="32" spans="1:23" ht="12.75">
      <c r="A32" s="127" t="s">
        <v>9</v>
      </c>
      <c r="B32" s="80" t="s">
        <v>30</v>
      </c>
      <c r="C32" s="80" t="s">
        <v>41</v>
      </c>
      <c r="D32" s="221"/>
      <c r="E32" s="223">
        <f>IF(B32="MAAC",$J$5*'BRA Load Pricing Results'!K51/'BRA Load Pricing Results'!$B$16,0)</f>
        <v>40.77881250391503</v>
      </c>
      <c r="F32" s="224">
        <f t="shared" si="11"/>
        <v>2436.941835233962</v>
      </c>
      <c r="G32" s="223">
        <f>IF(C32="EMAAC",$J$6*'BRA Load Pricing Results'!K51/'BRA Load Pricing Results'!$B$17,0)</f>
        <v>1215.98298802592</v>
      </c>
      <c r="H32" s="224">
        <f>G32*$H$16</f>
        <v>0</v>
      </c>
      <c r="I32" s="223">
        <f>IF(C32="SWMAAC",$J$7*'BRA Load Pricing Results'!K51/'BRA Load Pricing Results'!$B$18,0)</f>
        <v>0</v>
      </c>
      <c r="J32" s="224">
        <f t="shared" si="6"/>
        <v>0</v>
      </c>
      <c r="K32" s="223">
        <f>IF(D32="PS",$J$8*'BRA Load Pricing Results'!K51/'BRA Load Pricing Results'!$K$55,0)</f>
        <v>0</v>
      </c>
      <c r="L32" s="224">
        <f t="shared" si="7"/>
        <v>0</v>
      </c>
      <c r="M32" s="223">
        <f>IF(D32="DPL",$J$9*'BRA Load Pricing Results'!K51/'BRA Load Pricing Results'!$K$47,0)</f>
        <v>0</v>
      </c>
      <c r="N32" s="224">
        <f t="shared" si="2"/>
        <v>0</v>
      </c>
      <c r="O32" s="223">
        <f>IF(D32="PEPCO",$J$10*'BRA Load Pricing Results'!K51/'BRA Load Pricing Results'!$K$53,0)</f>
        <v>0</v>
      </c>
      <c r="P32" s="224">
        <f t="shared" si="8"/>
        <v>0</v>
      </c>
      <c r="Q32" s="223">
        <f>IF(D32="ATSI",$J$11*'BRA Load Pricing Results'!K51/'BRA Load Pricing Results'!$K$40,0)</f>
        <v>0</v>
      </c>
      <c r="R32" s="224">
        <f t="shared" si="3"/>
        <v>0</v>
      </c>
      <c r="S32" s="226">
        <f t="shared" si="4"/>
        <v>1215.98298802592</v>
      </c>
      <c r="T32" s="59">
        <f t="shared" si="12"/>
        <v>2436.941835233962</v>
      </c>
      <c r="U32" s="59">
        <f>T32/'BRA Load Pricing Results'!K51</f>
        <v>0.2405301520078631</v>
      </c>
      <c r="V32" s="227">
        <f t="shared" si="10"/>
        <v>2.004092046707167</v>
      </c>
      <c r="W32" s="15"/>
    </row>
    <row r="33" spans="1:23" ht="12.75">
      <c r="A33" s="127" t="s">
        <v>14</v>
      </c>
      <c r="B33" s="80" t="s">
        <v>30</v>
      </c>
      <c r="C33" s="80"/>
      <c r="D33" s="221"/>
      <c r="E33" s="223">
        <f>IF(B33="MAAC",$J$5*'BRA Load Pricing Results'!K52/'BRA Load Pricing Results'!$B$16,0)</f>
        <v>13.934744640987574</v>
      </c>
      <c r="F33" s="224">
        <f t="shared" si="11"/>
        <v>832.7403397454174</v>
      </c>
      <c r="G33" s="223">
        <f>IF(C33="EMAAC",$J$6*'BRA Load Pricing Results'!K52/'BRA Load Pricing Results'!$B$17,0)</f>
        <v>0</v>
      </c>
      <c r="H33" s="224">
        <f t="shared" si="9"/>
        <v>0</v>
      </c>
      <c r="I33" s="223">
        <f>IF(C33="SWMAAC",$J$7*'BRA Load Pricing Results'!K52/'BRA Load Pricing Results'!$B$18,0)</f>
        <v>0</v>
      </c>
      <c r="J33" s="224">
        <f t="shared" si="6"/>
        <v>0</v>
      </c>
      <c r="K33" s="223">
        <f>IF(D33="PS",$J$8*'BRA Load Pricing Results'!K52/'BRA Load Pricing Results'!$K$55,0)</f>
        <v>0</v>
      </c>
      <c r="L33" s="224">
        <f t="shared" si="7"/>
        <v>0</v>
      </c>
      <c r="M33" s="223">
        <f>IF(D33="DPL",$J$9*'BRA Load Pricing Results'!K52/'BRA Load Pricing Results'!$K$47,0)</f>
        <v>0</v>
      </c>
      <c r="N33" s="224">
        <f t="shared" si="2"/>
        <v>0</v>
      </c>
      <c r="O33" s="223">
        <f>IF(D33="PEPCO",$J$10*'BRA Load Pricing Results'!K52/'BRA Load Pricing Results'!$K$53,0)</f>
        <v>0</v>
      </c>
      <c r="P33" s="224">
        <f t="shared" si="8"/>
        <v>0</v>
      </c>
      <c r="Q33" s="223">
        <f>IF(D33="ATSI",$J$11*'BRA Load Pricing Results'!K52/'BRA Load Pricing Results'!$K$40,0)</f>
        <v>0</v>
      </c>
      <c r="R33" s="224">
        <f t="shared" si="3"/>
        <v>0</v>
      </c>
      <c r="S33" s="226">
        <f t="shared" si="4"/>
        <v>13.934744640987574</v>
      </c>
      <c r="T33" s="59">
        <f t="shared" si="12"/>
        <v>832.7403397454174</v>
      </c>
      <c r="U33" s="59">
        <f>T33/'BRA Load Pricing Results'!K52</f>
        <v>0.24053015200786304</v>
      </c>
      <c r="V33" s="227">
        <f t="shared" si="10"/>
        <v>59.76</v>
      </c>
      <c r="W33" s="15"/>
    </row>
    <row r="34" spans="1:23" ht="12.75">
      <c r="A34" s="127" t="s">
        <v>15</v>
      </c>
      <c r="B34" s="80" t="s">
        <v>30</v>
      </c>
      <c r="C34" s="80" t="s">
        <v>5</v>
      </c>
      <c r="D34" s="221" t="s">
        <v>15</v>
      </c>
      <c r="E34" s="223">
        <f>IF(B34="MAAC",$J$5*'BRA Load Pricing Results'!K53/'BRA Load Pricing Results'!$B$16,0)</f>
        <v>31.128864506805368</v>
      </c>
      <c r="F34" s="224">
        <f t="shared" si="11"/>
        <v>1860.2609429266888</v>
      </c>
      <c r="G34" s="223">
        <f>IF(C34="EMAAC",$J$6*'BRA Load Pricing Results'!K53/'BRA Load Pricing Results'!$B$17,0)</f>
        <v>0</v>
      </c>
      <c r="H34" s="224">
        <f t="shared" si="9"/>
        <v>0</v>
      </c>
      <c r="I34" s="223">
        <f>IF(C34="SWMAAC",$J$7*'BRA Load Pricing Results'!K53/'BRA Load Pricing Results'!$B$18,0)</f>
        <v>1403.6663002600658</v>
      </c>
      <c r="J34" s="224">
        <f t="shared" si="6"/>
        <v>0</v>
      </c>
      <c r="K34" s="223">
        <f>IF(D34="PS",$J$8*'BRA Load Pricing Results'!K53/'BRA Load Pricing Results'!$K$55,0)</f>
        <v>0</v>
      </c>
      <c r="L34" s="224">
        <f t="shared" si="7"/>
        <v>0</v>
      </c>
      <c r="M34" s="223">
        <f>IF(D34="DPL",$J$9*'BRA Load Pricing Results'!K53/'BRA Load Pricing Results'!$K$47,0)</f>
        <v>0</v>
      </c>
      <c r="N34" s="224">
        <f>M34*N16</f>
        <v>0</v>
      </c>
      <c r="O34" s="223">
        <f>IF(D34="PEPCO",$J$10*'BRA Load Pricing Results'!K53/'BRA Load Pricing Results'!$K$53,0)</f>
        <v>1263.9691395559205</v>
      </c>
      <c r="P34" s="224">
        <f>O34*$P$16</f>
        <v>0</v>
      </c>
      <c r="Q34" s="223">
        <f>IF(D34="ATSI",$J$11*'BRA Load Pricing Results'!K53/'BRA Load Pricing Results'!$K$40,0)</f>
        <v>0</v>
      </c>
      <c r="R34" s="224">
        <f t="shared" si="3"/>
        <v>0</v>
      </c>
      <c r="S34" s="226">
        <f t="shared" si="4"/>
        <v>1403.6663002600658</v>
      </c>
      <c r="T34" s="59">
        <f t="shared" si="12"/>
        <v>1860.2609429266888</v>
      </c>
      <c r="U34" s="59">
        <f>T34/'BRA Load Pricing Results'!K53</f>
        <v>0.24053015200786312</v>
      </c>
      <c r="V34" s="227">
        <f t="shared" si="10"/>
        <v>1.3252871730140041</v>
      </c>
      <c r="W34" s="15"/>
    </row>
    <row r="35" spans="1:23" ht="12.75">
      <c r="A35" s="127" t="s">
        <v>10</v>
      </c>
      <c r="B35" s="80" t="s">
        <v>30</v>
      </c>
      <c r="C35" s="80"/>
      <c r="D35" s="221"/>
      <c r="E35" s="223">
        <f>IF(B35="MAAC",$J$5*'BRA Load Pricing Results'!K54/'BRA Load Pricing Results'!$B$16,0)</f>
        <v>34.704106150895804</v>
      </c>
      <c r="F35" s="224">
        <f t="shared" si="11"/>
        <v>2073.917383577533</v>
      </c>
      <c r="G35" s="223">
        <f>IF(C35="EMAAC",$J$6*'BRA Load Pricing Results'!K54/'BRA Load Pricing Results'!$B$17,0)</f>
        <v>0</v>
      </c>
      <c r="H35" s="224">
        <f t="shared" si="9"/>
        <v>0</v>
      </c>
      <c r="I35" s="223">
        <f>IF(C35="SWMAAC",$J$7*'BRA Load Pricing Results'!K54/'BRA Load Pricing Results'!$B$18,0)</f>
        <v>0</v>
      </c>
      <c r="J35" s="224">
        <f t="shared" si="6"/>
        <v>0</v>
      </c>
      <c r="K35" s="223">
        <f>IF(D35="PS",$J$8*'BRA Load Pricing Results'!K54/'BRA Load Pricing Results'!$K$55,0)</f>
        <v>0</v>
      </c>
      <c r="L35" s="224">
        <f t="shared" si="7"/>
        <v>0</v>
      </c>
      <c r="M35" s="223">
        <f>IF(D35="DPL",$J$9*'BRA Load Pricing Results'!K54/'BRA Load Pricing Results'!$K$47,0)</f>
        <v>0</v>
      </c>
      <c r="N35" s="224">
        <f>M35*$N$16</f>
        <v>0</v>
      </c>
      <c r="O35" s="223">
        <f>IF(D35="PEPCO",$J$10*'BRA Load Pricing Results'!K54/'BRA Load Pricing Results'!$K$53,0)</f>
        <v>0</v>
      </c>
      <c r="P35" s="224">
        <f>O35*$P$16</f>
        <v>0</v>
      </c>
      <c r="Q35" s="223">
        <f>IF(D35="ATSI",$J$11*'BRA Load Pricing Results'!K54/'BRA Load Pricing Results'!$K$40,0)</f>
        <v>0</v>
      </c>
      <c r="R35" s="224">
        <f t="shared" si="3"/>
        <v>0</v>
      </c>
      <c r="S35" s="226">
        <f t="shared" si="4"/>
        <v>34.704106150895804</v>
      </c>
      <c r="T35" s="59">
        <f t="shared" si="12"/>
        <v>2073.917383577533</v>
      </c>
      <c r="U35" s="59">
        <f>T35/'BRA Load Pricing Results'!K54</f>
        <v>0.24053015200786307</v>
      </c>
      <c r="V35" s="227">
        <f t="shared" si="10"/>
        <v>59.76</v>
      </c>
      <c r="W35" s="15"/>
    </row>
    <row r="36" spans="1:23" ht="12.75">
      <c r="A36" s="127" t="s">
        <v>8</v>
      </c>
      <c r="B36" s="80" t="s">
        <v>30</v>
      </c>
      <c r="C36" s="80" t="s">
        <v>41</v>
      </c>
      <c r="D36" s="221" t="s">
        <v>8</v>
      </c>
      <c r="E36" s="223">
        <f>IF(B36="MAAC",$J$5*'BRA Load Pricing Results'!K55/'BRA Load Pricing Results'!$B$16,0)</f>
        <v>48.52440643707896</v>
      </c>
      <c r="F36" s="224">
        <f t="shared" si="11"/>
        <v>2899.8185286798384</v>
      </c>
      <c r="G36" s="223">
        <f>IF(C36="EMAAC",$J$6*'BRA Load Pricing Results'!K55/'BRA Load Pricing Results'!$B$17,0)</f>
        <v>1446.9487733581896</v>
      </c>
      <c r="H36" s="224">
        <f>G36*$H$16</f>
        <v>0</v>
      </c>
      <c r="I36" s="223">
        <f>IF(C36="SWMAAC",$J$7*'BRA Load Pricing Results'!K55/'BRA Load Pricing Results'!$B$18,0)</f>
        <v>0</v>
      </c>
      <c r="J36" s="224">
        <f t="shared" si="6"/>
        <v>0</v>
      </c>
      <c r="K36" s="223">
        <f>IF(D36="PS",$J$8*'BRA Load Pricing Results'!K55/'BRA Load Pricing Results'!$K$55,0)</f>
        <v>4966.943070484232</v>
      </c>
      <c r="L36" s="224">
        <f>K36*$L$16</f>
        <v>496048.6044492603</v>
      </c>
      <c r="M36" s="223">
        <f>IF(D36="DPL",$J$9*'BRA Load Pricing Results'!K55/'BRA Load Pricing Results'!$K$47,0)</f>
        <v>0</v>
      </c>
      <c r="N36" s="224">
        <f>M36*$N$16</f>
        <v>0</v>
      </c>
      <c r="O36" s="223">
        <f>IF(D36="PEPCO",$J$10*'BRA Load Pricing Results'!K55/'BRA Load Pricing Results'!$K$53,0)</f>
        <v>0</v>
      </c>
      <c r="P36" s="224">
        <f>O36*$P$16</f>
        <v>0</v>
      </c>
      <c r="Q36" s="223">
        <f>IF(D36="ATSI",$J$11*'BRA Load Pricing Results'!K55/'BRA Load Pricing Results'!$K$40,0)</f>
        <v>0</v>
      </c>
      <c r="R36" s="224">
        <f t="shared" si="3"/>
        <v>0</v>
      </c>
      <c r="S36" s="226">
        <f>MAX(E36,G36,I36,K36,M36,O36,Q36)</f>
        <v>4966.943070484232</v>
      </c>
      <c r="T36" s="59">
        <f t="shared" si="12"/>
        <v>498948.4229779401</v>
      </c>
      <c r="U36" s="59">
        <f>T36/'BRA Load Pricing Results'!K55</f>
        <v>41.38608634851499</v>
      </c>
      <c r="V36" s="227">
        <f t="shared" si="10"/>
        <v>100.45382358878078</v>
      </c>
      <c r="W36" s="15"/>
    </row>
    <row r="37" spans="1:23" ht="13.5" thickBot="1">
      <c r="A37" s="104" t="s">
        <v>18</v>
      </c>
      <c r="B37" s="84" t="s">
        <v>30</v>
      </c>
      <c r="C37" s="84" t="s">
        <v>41</v>
      </c>
      <c r="D37" s="222"/>
      <c r="E37" s="244">
        <f>IF(B37="MAAC",$J$5*'BRA Load Pricing Results'!K56/'BRA Load Pricing Results'!$B$16,0)</f>
        <v>1.9043540639457397</v>
      </c>
      <c r="F37" s="245">
        <f t="shared" si="11"/>
        <v>113.8041988613974</v>
      </c>
      <c r="G37" s="244">
        <f>IF(C37="EMAAC",$J$6*'BRA Load Pricing Results'!K56/'BRA Load Pricing Results'!$B$17,0)</f>
        <v>56.78591412424592</v>
      </c>
      <c r="H37" s="245">
        <f>G37*$H$16</f>
        <v>0</v>
      </c>
      <c r="I37" s="244">
        <f>IF(C37="SWMAAC",$J$7*'BRA Load Pricing Results'!K56/'BRA Load Pricing Results'!$B$18,0)</f>
        <v>0</v>
      </c>
      <c r="J37" s="245">
        <f t="shared" si="6"/>
        <v>0</v>
      </c>
      <c r="K37" s="244">
        <f>IF(D37="PS",$J$8*'BRA Load Pricing Results'!K56/'BRA Load Pricing Results'!$K$55,0)</f>
        <v>0</v>
      </c>
      <c r="L37" s="245">
        <f t="shared" si="7"/>
        <v>0</v>
      </c>
      <c r="M37" s="244">
        <f>IF(D37="DPL",$J$9*'BRA Load Pricing Results'!K56/'BRA Load Pricing Results'!$K$47,0)</f>
        <v>0</v>
      </c>
      <c r="N37" s="245">
        <f>M37*$N$16</f>
        <v>0</v>
      </c>
      <c r="O37" s="244">
        <f>IF(D37="PEPCO",$J$10*'BRA Load Pricing Results'!K56/'BRA Load Pricing Results'!$K$53,0)</f>
        <v>0</v>
      </c>
      <c r="P37" s="245">
        <f>O37*$P$16</f>
        <v>0</v>
      </c>
      <c r="Q37" s="244">
        <f>IF(D37="ATSI",$J$11*'BRA Load Pricing Results'!K56/'BRA Load Pricing Results'!$K$40,0)</f>
        <v>0</v>
      </c>
      <c r="R37" s="245">
        <f t="shared" si="3"/>
        <v>0</v>
      </c>
      <c r="S37" s="246">
        <f t="shared" si="4"/>
        <v>56.78591412424592</v>
      </c>
      <c r="T37" s="247">
        <f>F37+H37+J37+L37+N37+P37+R37</f>
        <v>113.8041988613974</v>
      </c>
      <c r="U37" s="247">
        <f>T37/'BRA Load Pricing Results'!K56</f>
        <v>0.24053015200786307</v>
      </c>
      <c r="V37" s="248">
        <f t="shared" si="10"/>
        <v>2.0040920467071666</v>
      </c>
      <c r="W37" s="15"/>
    </row>
    <row r="38" spans="1:23" ht="13.5" thickBot="1">
      <c r="A38" s="365" t="s">
        <v>89</v>
      </c>
      <c r="B38" s="366"/>
      <c r="C38" s="366"/>
      <c r="D38" s="367"/>
      <c r="E38" s="249">
        <f>SUM(E18:E37)</f>
        <v>279.610447658187</v>
      </c>
      <c r="F38" s="250">
        <f>SUM(F18:F37)</f>
        <v>16709.52035205326</v>
      </c>
      <c r="G38" s="249">
        <f aca="true" t="shared" si="13" ref="G38:L38">SUM(G18:G37)</f>
        <v>4545.466717363619</v>
      </c>
      <c r="H38" s="250">
        <f t="shared" si="13"/>
        <v>0</v>
      </c>
      <c r="I38" s="249">
        <f t="shared" si="13"/>
        <v>2908.066299715266</v>
      </c>
      <c r="J38" s="250">
        <f t="shared" si="13"/>
        <v>0</v>
      </c>
      <c r="K38" s="249">
        <f>SUM(K18:K37)</f>
        <v>4966.943070484232</v>
      </c>
      <c r="L38" s="250">
        <f t="shared" si="13"/>
        <v>496048.6044492603</v>
      </c>
      <c r="M38" s="249">
        <f aca="true" t="shared" si="14" ref="M38:R38">SUM(M18:M37)</f>
        <v>0</v>
      </c>
      <c r="N38" s="250">
        <f t="shared" si="14"/>
        <v>0</v>
      </c>
      <c r="O38" s="249">
        <f t="shared" si="14"/>
        <v>1263.9691395559205</v>
      </c>
      <c r="P38" s="250">
        <f t="shared" si="14"/>
        <v>0</v>
      </c>
      <c r="Q38" s="249">
        <f t="shared" si="14"/>
        <v>6008.209178435385</v>
      </c>
      <c r="R38" s="250">
        <f t="shared" si="14"/>
        <v>210767.97797951326</v>
      </c>
      <c r="S38" s="251"/>
      <c r="T38" s="252">
        <f>SUM(T18:T37)</f>
        <v>723526.1027808267</v>
      </c>
      <c r="U38" s="253"/>
      <c r="V38" s="254"/>
      <c r="W38" s="29"/>
    </row>
    <row r="39" ht="12.75">
      <c r="A39" s="12" t="s">
        <v>90</v>
      </c>
    </row>
    <row r="40" ht="12.75">
      <c r="A40" s="12" t="s">
        <v>91</v>
      </c>
    </row>
    <row r="41" ht="12.75">
      <c r="A41" s="12" t="s">
        <v>218</v>
      </c>
    </row>
    <row r="42" ht="12.75">
      <c r="A42" s="12" t="s">
        <v>92</v>
      </c>
    </row>
    <row r="43" ht="12.75">
      <c r="A43" s="12" t="s">
        <v>93</v>
      </c>
    </row>
  </sheetData>
  <sheetProtection/>
  <mergeCells count="9">
    <mergeCell ref="Q15:R15"/>
    <mergeCell ref="O15:P15"/>
    <mergeCell ref="I15:J15"/>
    <mergeCell ref="A14:D16"/>
    <mergeCell ref="A38:D38"/>
    <mergeCell ref="E15:F15"/>
    <mergeCell ref="G15:H15"/>
    <mergeCell ref="K15:L15"/>
    <mergeCell ref="M15:N15"/>
  </mergeCells>
  <printOptions horizontalCentered="1" verticalCentered="1"/>
  <pageMargins left="0.45" right="0.45" top="0.5" bottom="0.5" header="0" footer="0"/>
  <pageSetup fitToHeight="1" fitToWidth="1" horizontalDpi="600" verticalDpi="6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18" width="15.7109375" style="0" customWidth="1"/>
    <col min="19" max="19" width="21.140625" style="0" bestFit="1" customWidth="1"/>
    <col min="21" max="21" width="21.140625" style="0" bestFit="1" customWidth="1"/>
  </cols>
  <sheetData>
    <row r="1" spans="1:2" ht="18.75">
      <c r="A1" s="3" t="s">
        <v>186</v>
      </c>
      <c r="B1" s="19" t="s">
        <v>24</v>
      </c>
    </row>
    <row r="2" spans="1:3" ht="19.5" thickBot="1">
      <c r="A2" s="3"/>
      <c r="C2" s="66"/>
    </row>
    <row r="3" spans="1:8" ht="13.5" thickBot="1">
      <c r="A3" s="385" t="s">
        <v>79</v>
      </c>
      <c r="H3" s="264" t="s">
        <v>215</v>
      </c>
    </row>
    <row r="4" spans="1:15" ht="18.75" customHeight="1" thickBot="1">
      <c r="A4" s="386"/>
      <c r="B4" s="204" t="s">
        <v>30</v>
      </c>
      <c r="C4" s="190" t="s">
        <v>41</v>
      </c>
      <c r="D4" s="190" t="s">
        <v>5</v>
      </c>
      <c r="E4" s="190" t="s">
        <v>8</v>
      </c>
      <c r="F4" s="190" t="s">
        <v>42</v>
      </c>
      <c r="G4" s="190" t="s">
        <v>43</v>
      </c>
      <c r="H4" s="190" t="s">
        <v>43</v>
      </c>
      <c r="I4" s="190" t="s">
        <v>15</v>
      </c>
      <c r="J4" s="111"/>
      <c r="K4" s="111"/>
      <c r="L4" s="111"/>
      <c r="M4" s="111"/>
      <c r="N4" s="111"/>
      <c r="O4" s="111"/>
    </row>
    <row r="5" spans="1:16" ht="30" customHeight="1">
      <c r="A5" s="322" t="s">
        <v>143</v>
      </c>
      <c r="B5" s="187" t="s">
        <v>157</v>
      </c>
      <c r="C5" s="188" t="s">
        <v>157</v>
      </c>
      <c r="D5" s="188" t="s">
        <v>157</v>
      </c>
      <c r="E5" s="188" t="s">
        <v>157</v>
      </c>
      <c r="F5" s="188" t="s">
        <v>157</v>
      </c>
      <c r="G5" s="188" t="s">
        <v>157</v>
      </c>
      <c r="H5" s="188" t="s">
        <v>216</v>
      </c>
      <c r="I5" s="188" t="s">
        <v>157</v>
      </c>
      <c r="J5" s="111"/>
      <c r="K5" s="111"/>
      <c r="L5" s="111"/>
      <c r="M5" s="111"/>
      <c r="N5" s="111"/>
      <c r="O5" s="111"/>
      <c r="P5" s="40"/>
    </row>
    <row r="6" spans="1:16" ht="19.5" customHeight="1">
      <c r="A6" s="323" t="s">
        <v>144</v>
      </c>
      <c r="B6" s="324"/>
      <c r="C6" s="325"/>
      <c r="D6" s="325"/>
      <c r="E6" s="325"/>
      <c r="F6" s="325"/>
      <c r="G6" s="325"/>
      <c r="H6" s="325"/>
      <c r="I6" s="325"/>
      <c r="J6" s="111"/>
      <c r="K6" s="111"/>
      <c r="L6" s="111"/>
      <c r="M6" s="111"/>
      <c r="N6" s="111"/>
      <c r="O6" s="111"/>
      <c r="P6" s="40"/>
    </row>
    <row r="7" spans="1:16" ht="25.5">
      <c r="A7" s="326" t="s">
        <v>134</v>
      </c>
      <c r="B7" s="327">
        <v>160</v>
      </c>
      <c r="C7" s="328">
        <v>0</v>
      </c>
      <c r="D7" s="328">
        <v>0</v>
      </c>
      <c r="E7" s="328">
        <v>0</v>
      </c>
      <c r="F7" s="328">
        <v>0</v>
      </c>
      <c r="G7" s="328">
        <v>0</v>
      </c>
      <c r="H7" s="328">
        <v>0</v>
      </c>
      <c r="I7" s="328">
        <v>0</v>
      </c>
      <c r="J7" s="112"/>
      <c r="K7" s="112"/>
      <c r="L7" s="112"/>
      <c r="M7" s="112"/>
      <c r="N7" s="112"/>
      <c r="O7" s="112"/>
      <c r="P7" s="40"/>
    </row>
    <row r="8" spans="1:16" ht="25.5">
      <c r="A8" s="326" t="s">
        <v>135</v>
      </c>
      <c r="B8" s="327">
        <v>106</v>
      </c>
      <c r="C8" s="328">
        <v>0</v>
      </c>
      <c r="D8" s="328">
        <v>0</v>
      </c>
      <c r="E8" s="328">
        <v>0</v>
      </c>
      <c r="F8" s="328">
        <v>0</v>
      </c>
      <c r="G8" s="328">
        <v>0</v>
      </c>
      <c r="H8" s="328">
        <v>0</v>
      </c>
      <c r="I8" s="328">
        <v>0</v>
      </c>
      <c r="J8" s="112"/>
      <c r="K8" s="112"/>
      <c r="L8" s="112"/>
      <c r="M8" s="112"/>
      <c r="N8" s="112"/>
      <c r="O8" s="112"/>
      <c r="P8" s="40"/>
    </row>
    <row r="9" spans="1:16" ht="14.25">
      <c r="A9" s="326" t="s">
        <v>139</v>
      </c>
      <c r="B9" s="327">
        <v>117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112"/>
      <c r="K9" s="112"/>
      <c r="L9" s="112"/>
      <c r="M9" s="112"/>
      <c r="N9" s="112"/>
      <c r="O9" s="112"/>
      <c r="P9" s="40"/>
    </row>
    <row r="10" spans="1:16" ht="25.5">
      <c r="A10" s="326" t="s">
        <v>140</v>
      </c>
      <c r="B10" s="327">
        <v>0</v>
      </c>
      <c r="C10" s="328">
        <v>898</v>
      </c>
      <c r="D10" s="328">
        <v>0</v>
      </c>
      <c r="E10" s="328">
        <v>68.9</v>
      </c>
      <c r="F10" s="328">
        <v>105.5</v>
      </c>
      <c r="G10" s="328">
        <v>0</v>
      </c>
      <c r="H10" s="328">
        <v>0</v>
      </c>
      <c r="I10" s="328">
        <v>0</v>
      </c>
      <c r="J10" s="112"/>
      <c r="K10" s="112"/>
      <c r="L10" s="112"/>
      <c r="M10" s="112"/>
      <c r="N10" s="112"/>
      <c r="O10" s="112"/>
      <c r="P10" s="40"/>
    </row>
    <row r="11" spans="1:16" ht="25.5">
      <c r="A11" s="326" t="s">
        <v>200</v>
      </c>
      <c r="B11" s="327">
        <v>339</v>
      </c>
      <c r="C11" s="328">
        <v>0</v>
      </c>
      <c r="D11" s="328">
        <v>0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112"/>
      <c r="K11" s="112"/>
      <c r="L11" s="112"/>
      <c r="M11" s="112"/>
      <c r="N11" s="112"/>
      <c r="O11" s="112"/>
      <c r="P11" s="40"/>
    </row>
    <row r="12" spans="1:16" ht="30" customHeight="1">
      <c r="A12" s="189" t="s">
        <v>146</v>
      </c>
      <c r="B12" s="329">
        <f aca="true" t="shared" si="0" ref="B12:I12">SUM(B7:B11)</f>
        <v>722</v>
      </c>
      <c r="C12" s="330">
        <f t="shared" si="0"/>
        <v>898</v>
      </c>
      <c r="D12" s="330">
        <f t="shared" si="0"/>
        <v>0</v>
      </c>
      <c r="E12" s="330">
        <f t="shared" si="0"/>
        <v>68.9</v>
      </c>
      <c r="F12" s="330">
        <f t="shared" si="0"/>
        <v>105.5</v>
      </c>
      <c r="G12" s="330">
        <f t="shared" si="0"/>
        <v>0</v>
      </c>
      <c r="H12" s="330">
        <f>SUM(H7:H11)</f>
        <v>0</v>
      </c>
      <c r="I12" s="330">
        <f t="shared" si="0"/>
        <v>0</v>
      </c>
      <c r="J12" s="321" t="s">
        <v>24</v>
      </c>
      <c r="K12" s="112"/>
      <c r="L12" s="112"/>
      <c r="M12" s="112"/>
      <c r="N12" s="112"/>
      <c r="O12" s="112"/>
      <c r="P12" s="40"/>
    </row>
    <row r="13" spans="1:16" ht="19.5" customHeight="1">
      <c r="A13" s="323" t="s">
        <v>145</v>
      </c>
      <c r="B13" s="327" t="s">
        <v>24</v>
      </c>
      <c r="C13" s="328"/>
      <c r="D13" s="328"/>
      <c r="E13" s="328"/>
      <c r="F13" s="328"/>
      <c r="G13" s="328"/>
      <c r="H13" s="328"/>
      <c r="I13" s="328"/>
      <c r="J13" s="113"/>
      <c r="K13" s="114"/>
      <c r="L13" s="113"/>
      <c r="M13" s="113"/>
      <c r="N13" s="113"/>
      <c r="O13" s="114"/>
      <c r="P13" s="40"/>
    </row>
    <row r="14" spans="1:16" ht="39">
      <c r="A14" s="326" t="s">
        <v>136</v>
      </c>
      <c r="B14" s="327">
        <v>16</v>
      </c>
      <c r="C14" s="328">
        <v>0</v>
      </c>
      <c r="D14" s="328">
        <v>237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113"/>
      <c r="K14" s="114"/>
      <c r="L14" s="113"/>
      <c r="M14" s="113"/>
      <c r="N14" s="113"/>
      <c r="O14" s="114"/>
      <c r="P14" s="40"/>
    </row>
    <row r="15" spans="1:16" ht="26.25">
      <c r="A15" s="326" t="s">
        <v>179</v>
      </c>
      <c r="B15" s="327">
        <v>0</v>
      </c>
      <c r="C15" s="328">
        <v>0</v>
      </c>
      <c r="D15" s="328">
        <v>0</v>
      </c>
      <c r="E15" s="328">
        <v>340.2</v>
      </c>
      <c r="F15" s="328">
        <v>494.5</v>
      </c>
      <c r="G15" s="328">
        <v>0</v>
      </c>
      <c r="H15" s="328">
        <v>0</v>
      </c>
      <c r="I15" s="328">
        <v>0</v>
      </c>
      <c r="J15" s="113"/>
      <c r="K15" s="114"/>
      <c r="L15" s="113"/>
      <c r="M15" s="113"/>
      <c r="N15" s="113"/>
      <c r="O15" s="114"/>
      <c r="P15" s="40"/>
    </row>
    <row r="16" spans="1:16" ht="26.25">
      <c r="A16" s="326" t="s">
        <v>137</v>
      </c>
      <c r="B16" s="327">
        <v>0</v>
      </c>
      <c r="C16" s="328">
        <v>0</v>
      </c>
      <c r="D16" s="328">
        <v>0</v>
      </c>
      <c r="E16" s="328">
        <v>90.3</v>
      </c>
      <c r="F16" s="328">
        <v>0</v>
      </c>
      <c r="G16" s="328">
        <v>0</v>
      </c>
      <c r="H16" s="328">
        <v>0</v>
      </c>
      <c r="I16" s="328">
        <v>0</v>
      </c>
      <c r="J16" s="113"/>
      <c r="K16" s="114"/>
      <c r="L16" s="113"/>
      <c r="M16" s="113"/>
      <c r="N16" s="113"/>
      <c r="O16" s="114"/>
      <c r="P16" s="40"/>
    </row>
    <row r="17" spans="1:16" ht="15.75" customHeight="1">
      <c r="A17" s="189" t="s">
        <v>147</v>
      </c>
      <c r="B17" s="329">
        <f aca="true" t="shared" si="1" ref="B17:I17">SUM(B14:B16)</f>
        <v>16</v>
      </c>
      <c r="C17" s="330">
        <f t="shared" si="1"/>
        <v>0</v>
      </c>
      <c r="D17" s="330">
        <f t="shared" si="1"/>
        <v>237</v>
      </c>
      <c r="E17" s="330">
        <f t="shared" si="1"/>
        <v>430.5</v>
      </c>
      <c r="F17" s="330">
        <f t="shared" si="1"/>
        <v>494.5</v>
      </c>
      <c r="G17" s="330">
        <f t="shared" si="1"/>
        <v>0</v>
      </c>
      <c r="H17" s="330">
        <f>SUM(H14:H16)</f>
        <v>0</v>
      </c>
      <c r="I17" s="330">
        <f t="shared" si="1"/>
        <v>0</v>
      </c>
      <c r="J17" s="321" t="s">
        <v>24</v>
      </c>
      <c r="K17" s="114"/>
      <c r="L17" s="113"/>
      <c r="M17" s="113"/>
      <c r="N17" s="113"/>
      <c r="O17" s="114"/>
      <c r="P17" s="40"/>
    </row>
    <row r="18" spans="1:16" ht="15">
      <c r="A18" s="167" t="s">
        <v>97</v>
      </c>
      <c r="B18" s="331"/>
      <c r="C18" s="332"/>
      <c r="D18" s="332"/>
      <c r="E18" s="332"/>
      <c r="F18" s="332"/>
      <c r="G18" s="332"/>
      <c r="H18" s="332"/>
      <c r="I18" s="332"/>
      <c r="J18" s="113"/>
      <c r="K18" s="114"/>
      <c r="L18" s="113"/>
      <c r="M18" s="113"/>
      <c r="N18" s="113"/>
      <c r="O18" s="114"/>
      <c r="P18" s="40"/>
    </row>
    <row r="19" spans="1:16" ht="30" customHeight="1">
      <c r="A19" s="326" t="s">
        <v>138</v>
      </c>
      <c r="B19" s="327">
        <v>159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113"/>
      <c r="K19" s="114"/>
      <c r="L19" s="113"/>
      <c r="M19" s="113"/>
      <c r="N19" s="113"/>
      <c r="O19" s="114"/>
      <c r="P19" s="40"/>
    </row>
    <row r="20" spans="1:16" ht="30" customHeight="1">
      <c r="A20" s="326" t="s">
        <v>198</v>
      </c>
      <c r="B20" s="327">
        <v>0</v>
      </c>
      <c r="C20" s="328">
        <v>0</v>
      </c>
      <c r="D20" s="328">
        <v>444</v>
      </c>
      <c r="E20" s="328">
        <v>0</v>
      </c>
      <c r="F20" s="328">
        <v>0</v>
      </c>
      <c r="G20" s="328">
        <v>0</v>
      </c>
      <c r="H20" s="328">
        <v>0</v>
      </c>
      <c r="I20" s="328">
        <v>191</v>
      </c>
      <c r="J20" s="113"/>
      <c r="K20" s="114"/>
      <c r="L20" s="113"/>
      <c r="M20" s="113"/>
      <c r="N20" s="113"/>
      <c r="O20" s="114"/>
      <c r="P20" s="40"/>
    </row>
    <row r="21" spans="1:16" ht="30" customHeight="1">
      <c r="A21" s="337" t="s">
        <v>199</v>
      </c>
      <c r="B21" s="327">
        <v>0</v>
      </c>
      <c r="C21" s="328">
        <v>0</v>
      </c>
      <c r="D21" s="328">
        <v>0</v>
      </c>
      <c r="E21" s="328">
        <v>0</v>
      </c>
      <c r="F21" s="328">
        <v>0</v>
      </c>
      <c r="G21" s="328">
        <v>37</v>
      </c>
      <c r="H21" s="328">
        <f>G21*'BRA ICTRs'!G9/('BRA ICTRs'!G17+'BRA ICTRs'!G22)</f>
        <v>0</v>
      </c>
      <c r="I21" s="328">
        <v>0</v>
      </c>
      <c r="J21" s="113"/>
      <c r="K21" s="114"/>
      <c r="L21" s="113"/>
      <c r="M21" s="113"/>
      <c r="N21" s="113"/>
      <c r="O21" s="114"/>
      <c r="P21" s="40"/>
    </row>
    <row r="22" spans="1:16" ht="15.75" customHeight="1">
      <c r="A22" s="189" t="s">
        <v>113</v>
      </c>
      <c r="B22" s="329">
        <f>SUM(B19:B21)</f>
        <v>159</v>
      </c>
      <c r="C22" s="329">
        <f aca="true" t="shared" si="2" ref="C22:I22">SUM(C19:C21)</f>
        <v>0</v>
      </c>
      <c r="D22" s="329">
        <f t="shared" si="2"/>
        <v>444</v>
      </c>
      <c r="E22" s="329">
        <f t="shared" si="2"/>
        <v>0</v>
      </c>
      <c r="F22" s="329">
        <f t="shared" si="2"/>
        <v>0</v>
      </c>
      <c r="G22" s="329">
        <f t="shared" si="2"/>
        <v>37</v>
      </c>
      <c r="H22" s="329">
        <f>SUM(H19:H21)</f>
        <v>0</v>
      </c>
      <c r="I22" s="329">
        <f t="shared" si="2"/>
        <v>191</v>
      </c>
      <c r="J22" s="321" t="s">
        <v>24</v>
      </c>
      <c r="K22" s="114"/>
      <c r="L22" s="113"/>
      <c r="M22" s="113"/>
      <c r="N22" s="113"/>
      <c r="O22" s="114"/>
      <c r="P22" s="40"/>
    </row>
    <row r="23" spans="1:16" ht="15">
      <c r="A23" s="166"/>
      <c r="B23" s="327"/>
      <c r="C23" s="333"/>
      <c r="D23" s="333"/>
      <c r="E23" s="333"/>
      <c r="F23" s="333"/>
      <c r="G23" s="333"/>
      <c r="H23" s="333"/>
      <c r="I23" s="333"/>
      <c r="J23" s="113"/>
      <c r="K23" s="114"/>
      <c r="L23" s="113"/>
      <c r="M23" s="113"/>
      <c r="N23" s="113"/>
      <c r="O23" s="114"/>
      <c r="P23" s="40"/>
    </row>
    <row r="24" spans="1:16" ht="15.75" thickBot="1">
      <c r="A24" s="193" t="s">
        <v>114</v>
      </c>
      <c r="B24" s="334">
        <f aca="true" t="shared" si="3" ref="B24:I24">B12+B17+B22</f>
        <v>897</v>
      </c>
      <c r="C24" s="335">
        <f t="shared" si="3"/>
        <v>898</v>
      </c>
      <c r="D24" s="336">
        <f t="shared" si="3"/>
        <v>681</v>
      </c>
      <c r="E24" s="336">
        <f t="shared" si="3"/>
        <v>499.4</v>
      </c>
      <c r="F24" s="336">
        <f t="shared" si="3"/>
        <v>600</v>
      </c>
      <c r="G24" s="336">
        <f t="shared" si="3"/>
        <v>37</v>
      </c>
      <c r="H24" s="336">
        <f>H12+H17+H22</f>
        <v>0</v>
      </c>
      <c r="I24" s="336">
        <f t="shared" si="3"/>
        <v>191</v>
      </c>
      <c r="J24" s="116"/>
      <c r="K24" s="112"/>
      <c r="L24" s="116"/>
      <c r="M24" s="116"/>
      <c r="N24" s="116"/>
      <c r="O24" s="112"/>
      <c r="P24" s="40"/>
    </row>
    <row r="25" spans="1:13" s="40" customFormat="1" ht="34.5" customHeight="1">
      <c r="A25" s="371" t="s">
        <v>161</v>
      </c>
      <c r="B25" s="372"/>
      <c r="C25" s="372"/>
      <c r="D25" s="373"/>
      <c r="E25" s="119"/>
      <c r="F25" s="119"/>
      <c r="G25" s="119"/>
      <c r="H25" s="119"/>
      <c r="I25" s="120"/>
      <c r="J25" s="119"/>
      <c r="K25" s="119"/>
      <c r="L25" s="119"/>
      <c r="M25" s="120"/>
    </row>
    <row r="26" spans="1:13" s="40" customFormat="1" ht="15">
      <c r="A26" s="12"/>
      <c r="B26" s="117"/>
      <c r="C26" s="117"/>
      <c r="D26" s="118"/>
      <c r="E26" s="119"/>
      <c r="F26" s="119"/>
      <c r="G26" s="119"/>
      <c r="H26" s="119"/>
      <c r="I26" s="120"/>
      <c r="J26" s="119"/>
      <c r="K26" s="119"/>
      <c r="L26" s="119"/>
      <c r="M26" s="120"/>
    </row>
    <row r="27" spans="1:13" s="40" customFormat="1" ht="15.75" thickBot="1">
      <c r="A27" s="115"/>
      <c r="B27" s="117"/>
      <c r="C27" s="117"/>
      <c r="D27" s="118"/>
      <c r="E27" s="119"/>
      <c r="F27" s="119"/>
      <c r="G27" s="119"/>
      <c r="H27" s="119"/>
      <c r="I27" s="120"/>
      <c r="J27" s="119"/>
      <c r="K27" s="119"/>
      <c r="L27" s="119"/>
      <c r="M27" s="120"/>
    </row>
    <row r="28" spans="1:13" ht="48" thickBot="1">
      <c r="A28" s="122" t="s">
        <v>148</v>
      </c>
      <c r="B28" s="183" t="s">
        <v>24</v>
      </c>
      <c r="C28" s="183" t="s">
        <v>24</v>
      </c>
      <c r="D28" s="39"/>
      <c r="E28" s="119"/>
      <c r="F28" s="119"/>
      <c r="G28" s="119"/>
      <c r="H28" s="119"/>
      <c r="I28" s="120"/>
      <c r="J28" s="119"/>
      <c r="K28" s="119"/>
      <c r="L28" s="119"/>
      <c r="M28" s="120"/>
    </row>
    <row r="29" spans="1:13" ht="79.5" customHeight="1">
      <c r="A29" s="195" t="s">
        <v>76</v>
      </c>
      <c r="B29" s="194" t="s">
        <v>144</v>
      </c>
      <c r="C29" s="191" t="s">
        <v>149</v>
      </c>
      <c r="D29" s="191" t="s">
        <v>150</v>
      </c>
      <c r="E29" s="191" t="s">
        <v>151</v>
      </c>
      <c r="F29" s="119"/>
      <c r="G29" s="119"/>
      <c r="H29" s="119"/>
      <c r="I29" s="120"/>
      <c r="J29" s="119"/>
      <c r="K29" s="119"/>
      <c r="L29" s="119"/>
      <c r="M29" s="120"/>
    </row>
    <row r="30" spans="1:13" ht="14.25">
      <c r="A30" s="50" t="s">
        <v>16</v>
      </c>
      <c r="B30" s="60">
        <v>0.0174</v>
      </c>
      <c r="C30" s="60">
        <v>0.0896</v>
      </c>
      <c r="D30" s="60">
        <v>0.0021</v>
      </c>
      <c r="E30" s="60">
        <v>0</v>
      </c>
      <c r="F30" s="119"/>
      <c r="G30" s="119"/>
      <c r="H30" s="119"/>
      <c r="I30" s="120"/>
      <c r="J30" s="119"/>
      <c r="K30" s="119"/>
      <c r="L30" s="119"/>
      <c r="M30" s="120"/>
    </row>
    <row r="31" spans="1:13" ht="14.25">
      <c r="A31" s="50" t="s">
        <v>32</v>
      </c>
      <c r="B31" s="60">
        <v>0.1442</v>
      </c>
      <c r="C31" s="60">
        <v>0</v>
      </c>
      <c r="D31" s="60">
        <v>0</v>
      </c>
      <c r="E31" s="60">
        <v>0</v>
      </c>
      <c r="F31" s="119"/>
      <c r="G31" s="119"/>
      <c r="H31" s="119"/>
      <c r="I31" s="120"/>
      <c r="J31" s="119"/>
      <c r="K31" s="119"/>
      <c r="L31" s="119"/>
      <c r="M31" s="120"/>
    </row>
    <row r="32" spans="1:13" ht="14.25">
      <c r="A32" s="50" t="s">
        <v>19</v>
      </c>
      <c r="B32" s="60">
        <v>0.0527</v>
      </c>
      <c r="C32" s="60">
        <v>0</v>
      </c>
      <c r="D32" s="60">
        <v>0</v>
      </c>
      <c r="E32" s="60">
        <v>0</v>
      </c>
      <c r="F32" s="119"/>
      <c r="G32" s="119"/>
      <c r="H32" s="119"/>
      <c r="I32" s="120"/>
      <c r="J32" s="119"/>
      <c r="K32" s="119"/>
      <c r="L32" s="119"/>
      <c r="M32" s="120"/>
    </row>
    <row r="33" spans="1:5" s="40" customFormat="1" ht="12.75">
      <c r="A33" s="50" t="s">
        <v>51</v>
      </c>
      <c r="B33" s="60">
        <v>0.0836</v>
      </c>
      <c r="C33" s="60">
        <v>0</v>
      </c>
      <c r="D33" s="60">
        <v>0</v>
      </c>
      <c r="E33" s="60">
        <v>0</v>
      </c>
    </row>
    <row r="34" spans="1:5" s="40" customFormat="1" ht="12.75">
      <c r="A34" s="50" t="s">
        <v>11</v>
      </c>
      <c r="B34" s="60">
        <v>0.0433</v>
      </c>
      <c r="C34" s="60">
        <v>0</v>
      </c>
      <c r="D34" s="60">
        <v>0.0088</v>
      </c>
      <c r="E34" s="60">
        <v>0</v>
      </c>
    </row>
    <row r="35" spans="1:5" s="40" customFormat="1" ht="12.75">
      <c r="A35" s="50" t="s">
        <v>20</v>
      </c>
      <c r="B35" s="60">
        <v>0.1459</v>
      </c>
      <c r="C35" s="60">
        <v>0</v>
      </c>
      <c r="D35" s="60">
        <v>0.0211</v>
      </c>
      <c r="E35" s="60">
        <v>0</v>
      </c>
    </row>
    <row r="36" spans="1:13" ht="12.75">
      <c r="A36" s="50" t="s">
        <v>21</v>
      </c>
      <c r="B36" s="60">
        <v>0.0216</v>
      </c>
      <c r="C36" s="60">
        <v>0</v>
      </c>
      <c r="D36" s="60">
        <v>0.0012</v>
      </c>
      <c r="E36" s="60">
        <v>0</v>
      </c>
      <c r="F36" s="40"/>
      <c r="G36" s="40"/>
      <c r="H36" s="40"/>
      <c r="I36" s="40"/>
      <c r="J36" s="40"/>
      <c r="K36" s="40"/>
      <c r="L36" s="40"/>
      <c r="M36" s="40"/>
    </row>
    <row r="37" spans="1:13" ht="12.75">
      <c r="A37" s="50" t="s">
        <v>65</v>
      </c>
      <c r="B37" s="60">
        <v>0.0337</v>
      </c>
      <c r="C37" s="60">
        <v>0</v>
      </c>
      <c r="D37" s="60">
        <v>0</v>
      </c>
      <c r="E37" s="60">
        <v>0</v>
      </c>
      <c r="F37" s="40"/>
      <c r="G37" s="40"/>
      <c r="H37" s="40"/>
      <c r="I37" s="40"/>
      <c r="J37" s="40"/>
      <c r="K37" s="40"/>
      <c r="L37" s="40"/>
      <c r="M37" s="40"/>
    </row>
    <row r="38" spans="1:13" ht="12.75">
      <c r="A38" s="50" t="s">
        <v>50</v>
      </c>
      <c r="B38" s="60">
        <v>0.0189</v>
      </c>
      <c r="C38" s="60">
        <v>0</v>
      </c>
      <c r="D38" s="60">
        <v>0</v>
      </c>
      <c r="E38" s="60">
        <v>0</v>
      </c>
      <c r="F38" s="40"/>
      <c r="G38" s="40"/>
      <c r="H38" s="40"/>
      <c r="I38" s="40"/>
      <c r="J38" s="40"/>
      <c r="K38" s="40"/>
      <c r="L38" s="40"/>
      <c r="M38" s="40"/>
    </row>
    <row r="39" spans="1:13" ht="12.75">
      <c r="A39" s="50" t="s">
        <v>33</v>
      </c>
      <c r="B39" s="60">
        <v>0.119</v>
      </c>
      <c r="C39" s="60">
        <v>0</v>
      </c>
      <c r="D39" s="60">
        <v>0</v>
      </c>
      <c r="E39" s="60">
        <v>0</v>
      </c>
      <c r="F39" s="40"/>
      <c r="G39" s="40"/>
      <c r="H39" s="40"/>
      <c r="I39" s="40"/>
      <c r="J39" s="40"/>
      <c r="K39" s="40"/>
      <c r="L39" s="40"/>
      <c r="M39" s="40"/>
    </row>
    <row r="40" spans="1:13" ht="12.75">
      <c r="A40" s="50" t="s">
        <v>17</v>
      </c>
      <c r="B40" s="60">
        <v>0.0254</v>
      </c>
      <c r="C40" s="60">
        <v>0.1677</v>
      </c>
      <c r="D40" s="60">
        <v>0</v>
      </c>
      <c r="E40" s="60">
        <v>0</v>
      </c>
      <c r="F40" s="40"/>
      <c r="G40" s="40"/>
      <c r="H40" s="40"/>
      <c r="I40" s="40"/>
      <c r="J40" s="40"/>
      <c r="K40" s="40"/>
      <c r="L40" s="40"/>
      <c r="M40" s="40"/>
    </row>
    <row r="41" spans="1:13" ht="12.75">
      <c r="A41" s="50" t="s">
        <v>191</v>
      </c>
      <c r="B41" s="60">
        <v>0</v>
      </c>
      <c r="C41" s="60">
        <v>0</v>
      </c>
      <c r="D41" s="60">
        <v>0</v>
      </c>
      <c r="E41" s="60">
        <v>0</v>
      </c>
      <c r="F41" s="40"/>
      <c r="G41" s="40"/>
      <c r="H41" s="40"/>
      <c r="I41" s="40"/>
      <c r="J41" s="40"/>
      <c r="K41" s="40"/>
      <c r="L41" s="40"/>
      <c r="M41" s="40"/>
    </row>
    <row r="42" spans="1:13" ht="12.75">
      <c r="A42" s="50" t="s">
        <v>12</v>
      </c>
      <c r="B42" s="60">
        <v>0.0385</v>
      </c>
      <c r="C42" s="60">
        <v>0.0959</v>
      </c>
      <c r="D42" s="60">
        <v>0.0106</v>
      </c>
      <c r="E42" s="60">
        <v>0.1282</v>
      </c>
      <c r="F42" s="40"/>
      <c r="G42" s="40"/>
      <c r="H42" s="40"/>
      <c r="I42" s="40"/>
      <c r="J42" s="40"/>
      <c r="K42" s="40"/>
      <c r="L42" s="40"/>
      <c r="M42" s="40"/>
    </row>
    <row r="43" spans="1:13" ht="12.75">
      <c r="A43" s="50" t="s">
        <v>13</v>
      </c>
      <c r="B43" s="60">
        <v>0.0188</v>
      </c>
      <c r="C43" s="60">
        <v>0.0147</v>
      </c>
      <c r="D43" s="60">
        <v>0</v>
      </c>
      <c r="E43" s="60">
        <v>0</v>
      </c>
      <c r="F43" s="40"/>
      <c r="G43" s="40"/>
      <c r="H43" s="40"/>
      <c r="I43" s="40"/>
      <c r="J43" s="40"/>
      <c r="K43" s="40"/>
      <c r="L43" s="40"/>
      <c r="M43" s="40"/>
    </row>
    <row r="44" spans="1:13" ht="12.75">
      <c r="A44" s="50" t="s">
        <v>9</v>
      </c>
      <c r="B44" s="60">
        <v>0.0529</v>
      </c>
      <c r="C44" s="60">
        <v>0.3064</v>
      </c>
      <c r="D44" s="60">
        <v>0</v>
      </c>
      <c r="E44" s="60">
        <v>0.5108</v>
      </c>
      <c r="F44" s="40"/>
      <c r="G44" s="40"/>
      <c r="H44" s="40"/>
      <c r="I44" s="40"/>
      <c r="J44" s="40"/>
      <c r="K44" s="40"/>
      <c r="L44" s="40"/>
      <c r="M44" s="40"/>
    </row>
    <row r="45" spans="1:13" ht="12.75">
      <c r="A45" s="50" t="s">
        <v>14</v>
      </c>
      <c r="B45" s="60">
        <v>0.018</v>
      </c>
      <c r="C45" s="60">
        <v>0</v>
      </c>
      <c r="D45" s="60">
        <v>0.027</v>
      </c>
      <c r="E45" s="60">
        <v>0</v>
      </c>
      <c r="F45" s="40"/>
      <c r="G45" s="40"/>
      <c r="H45" s="40"/>
      <c r="I45" s="40"/>
      <c r="J45" s="40"/>
      <c r="K45" s="40"/>
      <c r="L45" s="40"/>
      <c r="M45" s="40"/>
    </row>
    <row r="46" spans="1:13" ht="12.75">
      <c r="A46" s="50" t="s">
        <v>15</v>
      </c>
      <c r="B46" s="60">
        <v>0.0416</v>
      </c>
      <c r="C46" s="60">
        <v>0</v>
      </c>
      <c r="D46" s="60">
        <v>0.0095</v>
      </c>
      <c r="E46" s="60">
        <v>0.0057</v>
      </c>
      <c r="F46" s="40"/>
      <c r="G46" s="40"/>
      <c r="H46" s="40"/>
      <c r="I46" s="40"/>
      <c r="J46" s="40"/>
      <c r="K46" s="40"/>
      <c r="L46" s="40"/>
      <c r="M46" s="40"/>
    </row>
    <row r="47" spans="1:13" ht="12.75">
      <c r="A47" s="50" t="s">
        <v>10</v>
      </c>
      <c r="B47" s="60">
        <v>0.0456</v>
      </c>
      <c r="C47" s="60">
        <v>0.1633</v>
      </c>
      <c r="D47" s="60">
        <v>0</v>
      </c>
      <c r="E47" s="60">
        <v>0</v>
      </c>
      <c r="F47" s="40"/>
      <c r="G47" s="40"/>
      <c r="H47" s="40"/>
      <c r="I47" s="40"/>
      <c r="J47" s="40"/>
      <c r="K47" s="40"/>
      <c r="L47" s="40"/>
      <c r="M47" s="40"/>
    </row>
    <row r="48" spans="1:13" ht="12.75">
      <c r="A48" s="50" t="s">
        <v>8</v>
      </c>
      <c r="B48" s="60">
        <v>0.0647</v>
      </c>
      <c r="C48" s="60">
        <v>0.14</v>
      </c>
      <c r="D48" s="60">
        <v>0.6381</v>
      </c>
      <c r="E48" s="60">
        <v>0.3146</v>
      </c>
      <c r="F48" s="40"/>
      <c r="G48" s="40"/>
      <c r="H48" s="40"/>
      <c r="I48" s="40"/>
      <c r="J48" s="40"/>
      <c r="K48" s="40"/>
      <c r="L48" s="40"/>
      <c r="M48" s="40"/>
    </row>
    <row r="49" spans="1:13" ht="12.75">
      <c r="A49" s="50" t="s">
        <v>18</v>
      </c>
      <c r="B49" s="60">
        <v>0.0026</v>
      </c>
      <c r="C49" s="60">
        <v>0.0052</v>
      </c>
      <c r="D49" s="60">
        <v>0.0253</v>
      </c>
      <c r="E49" s="60">
        <v>0.0125</v>
      </c>
      <c r="F49" s="40"/>
      <c r="G49" s="40"/>
      <c r="H49" s="40"/>
      <c r="I49" s="40"/>
      <c r="J49" s="40"/>
      <c r="K49" s="40"/>
      <c r="L49" s="40"/>
      <c r="M49" s="40"/>
    </row>
    <row r="50" spans="1:5" s="40" customFormat="1" ht="12.75">
      <c r="A50" s="50" t="s">
        <v>162</v>
      </c>
      <c r="B50" s="60">
        <v>0.0056</v>
      </c>
      <c r="C50" s="60">
        <v>0.0049</v>
      </c>
      <c r="D50" s="60">
        <v>0.0905</v>
      </c>
      <c r="E50" s="60">
        <v>0</v>
      </c>
    </row>
    <row r="51" spans="1:5" ht="12.75">
      <c r="A51" s="50" t="s">
        <v>163</v>
      </c>
      <c r="B51" s="60">
        <v>0.0041</v>
      </c>
      <c r="C51" s="60">
        <v>0.0094</v>
      </c>
      <c r="D51" s="60">
        <v>0.0006</v>
      </c>
      <c r="E51" s="60">
        <v>0.0118</v>
      </c>
    </row>
    <row r="52" spans="1:5" ht="12.75">
      <c r="A52" s="50" t="s">
        <v>141</v>
      </c>
      <c r="B52" s="60">
        <v>0.0019</v>
      </c>
      <c r="C52" s="60">
        <v>0.0029</v>
      </c>
      <c r="D52" s="60">
        <v>0.0192</v>
      </c>
      <c r="E52" s="60">
        <v>0.0085</v>
      </c>
    </row>
    <row r="53" spans="1:5" ht="12.75">
      <c r="A53" s="50" t="s">
        <v>142</v>
      </c>
      <c r="B53" s="60">
        <v>0</v>
      </c>
      <c r="C53" s="60">
        <v>0</v>
      </c>
      <c r="D53" s="60">
        <v>0.146</v>
      </c>
      <c r="E53" s="60">
        <v>0.0079</v>
      </c>
    </row>
    <row r="54" spans="1:5" ht="12.75">
      <c r="A54" s="135"/>
      <c r="B54" s="192">
        <f>SUM(B30:B53)</f>
        <v>0.9999999999999999</v>
      </c>
      <c r="C54" s="192">
        <f>SUM(C30:C53)</f>
        <v>0.9999999999999999</v>
      </c>
      <c r="D54" s="192">
        <f>SUM(D30:D53)</f>
        <v>1</v>
      </c>
      <c r="E54" s="192">
        <f>SUM(E30:E53)</f>
        <v>1</v>
      </c>
    </row>
    <row r="55" spans="1:4" ht="33.75" customHeight="1">
      <c r="A55" s="387" t="s">
        <v>217</v>
      </c>
      <c r="B55" s="387"/>
      <c r="C55" s="387"/>
      <c r="D55" s="121"/>
    </row>
    <row r="56" spans="1:4" ht="12.75">
      <c r="A56" s="12"/>
      <c r="B56" s="121"/>
      <c r="C56" s="121"/>
      <c r="D56" s="121"/>
    </row>
    <row r="57" spans="1:4" ht="13.5" thickBot="1">
      <c r="A57" s="12"/>
      <c r="B57" s="121"/>
      <c r="C57" s="121"/>
      <c r="D57" s="121"/>
    </row>
    <row r="58" spans="1:6" ht="15.75" thickBot="1">
      <c r="A58" s="368" t="s">
        <v>78</v>
      </c>
      <c r="B58" s="117"/>
      <c r="C58" s="117"/>
      <c r="D58" s="118"/>
      <c r="F58" s="19" t="s">
        <v>24</v>
      </c>
    </row>
    <row r="59" spans="1:22" ht="15.75" thickBot="1">
      <c r="A59" s="369"/>
      <c r="B59" s="376" t="s">
        <v>30</v>
      </c>
      <c r="C59" s="377"/>
      <c r="D59" s="377"/>
      <c r="E59" s="378"/>
      <c r="F59" s="374" t="s">
        <v>41</v>
      </c>
      <c r="G59" s="375"/>
      <c r="H59" s="376" t="s">
        <v>5</v>
      </c>
      <c r="I59" s="378"/>
      <c r="J59" s="376" t="s">
        <v>8</v>
      </c>
      <c r="K59" s="377"/>
      <c r="L59" s="377"/>
      <c r="M59" s="377"/>
      <c r="N59" s="378"/>
      <c r="O59" s="376" t="s">
        <v>42</v>
      </c>
      <c r="P59" s="377"/>
      <c r="Q59" s="377"/>
      <c r="R59" s="378"/>
      <c r="S59" s="376" t="s">
        <v>43</v>
      </c>
      <c r="T59" s="378"/>
      <c r="U59" s="376" t="s">
        <v>15</v>
      </c>
      <c r="V59" s="378"/>
    </row>
    <row r="60" spans="1:22" ht="26.25" thickBot="1">
      <c r="A60" s="370"/>
      <c r="B60" s="379" t="s">
        <v>49</v>
      </c>
      <c r="C60" s="380"/>
      <c r="D60" s="381"/>
      <c r="E60" s="257">
        <f>'BRA Resource Clearing Results'!C6</f>
        <v>59.76</v>
      </c>
      <c r="F60" s="261" t="s">
        <v>49</v>
      </c>
      <c r="G60" s="257">
        <f>'BRA Resource Clearing Results'!C7</f>
        <v>0</v>
      </c>
      <c r="H60" s="261" t="s">
        <v>49</v>
      </c>
      <c r="I60" s="257">
        <f>'BRA Resource Clearing Results'!C8</f>
        <v>0</v>
      </c>
      <c r="J60" s="379" t="s">
        <v>49</v>
      </c>
      <c r="K60" s="380"/>
      <c r="L60" s="380"/>
      <c r="M60" s="381"/>
      <c r="N60" s="257">
        <f>'BRA Resource Clearing Results'!C9</f>
        <v>99.87</v>
      </c>
      <c r="O60" s="379" t="s">
        <v>49</v>
      </c>
      <c r="P60" s="380"/>
      <c r="Q60" s="381"/>
      <c r="R60" s="257">
        <f>'BRA Resource Clearing Results'!C10</f>
        <v>0</v>
      </c>
      <c r="S60" s="319" t="s">
        <v>49</v>
      </c>
      <c r="T60" s="320">
        <f>'BRA Resource Clearing Results'!C11</f>
        <v>0</v>
      </c>
      <c r="U60" s="319" t="s">
        <v>49</v>
      </c>
      <c r="V60" s="320">
        <f>'BRA Resource Clearing Results'!C12</f>
        <v>0</v>
      </c>
    </row>
    <row r="61" spans="1:22" ht="79.5" customHeight="1" thickBot="1">
      <c r="A61" s="255" t="s">
        <v>76</v>
      </c>
      <c r="B61" s="258" t="s">
        <v>152</v>
      </c>
      <c r="C61" s="191" t="s">
        <v>153</v>
      </c>
      <c r="D61" s="196" t="s">
        <v>77</v>
      </c>
      <c r="E61" s="198" t="s">
        <v>94</v>
      </c>
      <c r="F61" s="258" t="s">
        <v>152</v>
      </c>
      <c r="G61" s="198" t="s">
        <v>94</v>
      </c>
      <c r="H61" s="262" t="s">
        <v>153</v>
      </c>
      <c r="I61" s="198" t="s">
        <v>94</v>
      </c>
      <c r="J61" s="258" t="s">
        <v>152</v>
      </c>
      <c r="K61" s="191" t="s">
        <v>154</v>
      </c>
      <c r="L61" s="191" t="s">
        <v>155</v>
      </c>
      <c r="M61" s="196" t="s">
        <v>77</v>
      </c>
      <c r="N61" s="198" t="s">
        <v>94</v>
      </c>
      <c r="O61" s="258" t="s">
        <v>152</v>
      </c>
      <c r="P61" s="191" t="s">
        <v>154</v>
      </c>
      <c r="Q61" s="196" t="s">
        <v>77</v>
      </c>
      <c r="R61" s="198" t="s">
        <v>94</v>
      </c>
      <c r="S61" s="382" t="s">
        <v>219</v>
      </c>
      <c r="T61" s="383"/>
      <c r="U61" s="383"/>
      <c r="V61" s="384"/>
    </row>
    <row r="62" spans="1:18" ht="12.75">
      <c r="A62" s="256" t="s">
        <v>16</v>
      </c>
      <c r="B62" s="223">
        <f aca="true" t="shared" si="4" ref="B62:B85">B30*$B$12</f>
        <v>12.5628</v>
      </c>
      <c r="C62" s="58">
        <f aca="true" t="shared" si="5" ref="C62:C85">C30*$B$14</f>
        <v>1.4336</v>
      </c>
      <c r="D62" s="58">
        <f>B62+C62</f>
        <v>13.9964</v>
      </c>
      <c r="E62" s="107">
        <f>D62*$E$60</f>
        <v>836.424864</v>
      </c>
      <c r="F62" s="223">
        <f>B30*$C$12</f>
        <v>15.6252</v>
      </c>
      <c r="G62" s="199">
        <f>F62*$G$60</f>
        <v>0</v>
      </c>
      <c r="H62" s="223">
        <f aca="true" t="shared" si="6" ref="H62:H72">C30*$D$14</f>
        <v>21.2352</v>
      </c>
      <c r="I62" s="199">
        <f>H62*$I$60</f>
        <v>0</v>
      </c>
      <c r="J62" s="223">
        <f aca="true" t="shared" si="7" ref="J62:J72">B30*$E$12</f>
        <v>1.19886</v>
      </c>
      <c r="K62" s="58">
        <f aca="true" t="shared" si="8" ref="K62:K72">D30*$E$15</f>
        <v>0.7144199999999999</v>
      </c>
      <c r="L62" s="58">
        <f aca="true" t="shared" si="9" ref="L62:L72">E30*$E$16</f>
        <v>0</v>
      </c>
      <c r="M62" s="58">
        <f>J62+K62+L62</f>
        <v>1.9132799999999999</v>
      </c>
      <c r="N62" s="107">
        <f>M62*$N$60</f>
        <v>191.0792736</v>
      </c>
      <c r="O62" s="223">
        <f aca="true" t="shared" si="10" ref="O62:O72">B30*$F$12</f>
        <v>1.8356999999999999</v>
      </c>
      <c r="P62" s="58">
        <f aca="true" t="shared" si="11" ref="P62:P72">D30*$F$15</f>
        <v>1.0384499999999999</v>
      </c>
      <c r="Q62" s="58">
        <f aca="true" t="shared" si="12" ref="Q62:Q67">O62+P62</f>
        <v>2.8741499999999998</v>
      </c>
      <c r="R62" s="107">
        <f>Q62*$R$60</f>
        <v>0</v>
      </c>
    </row>
    <row r="63" spans="1:18" ht="12.75">
      <c r="A63" s="256" t="s">
        <v>32</v>
      </c>
      <c r="B63" s="223">
        <f t="shared" si="4"/>
        <v>104.1124</v>
      </c>
      <c r="C63" s="58">
        <f t="shared" si="5"/>
        <v>0</v>
      </c>
      <c r="D63" s="58">
        <f>B63+C63</f>
        <v>104.1124</v>
      </c>
      <c r="E63" s="107">
        <f>D63*$E$60</f>
        <v>6221.757024</v>
      </c>
      <c r="F63" s="223">
        <f aca="true" t="shared" si="13" ref="F63:F70">B31*$C$12</f>
        <v>129.4916</v>
      </c>
      <c r="G63" s="199">
        <f aca="true" t="shared" si="14" ref="G63:G85">F63*$G$60</f>
        <v>0</v>
      </c>
      <c r="H63" s="223">
        <f t="shared" si="6"/>
        <v>0</v>
      </c>
      <c r="I63" s="199">
        <f aca="true" t="shared" si="15" ref="I63:I85">H63*$I$60</f>
        <v>0</v>
      </c>
      <c r="J63" s="223">
        <f t="shared" si="7"/>
        <v>9.93538</v>
      </c>
      <c r="K63" s="58">
        <f t="shared" si="8"/>
        <v>0</v>
      </c>
      <c r="L63" s="58">
        <f t="shared" si="9"/>
        <v>0</v>
      </c>
      <c r="M63" s="58">
        <f aca="true" t="shared" si="16" ref="M63:M85">J63+K63+L63</f>
        <v>9.93538</v>
      </c>
      <c r="N63" s="107">
        <f aca="true" t="shared" si="17" ref="N63:N85">M63*$N$60</f>
        <v>992.2464006000001</v>
      </c>
      <c r="O63" s="223">
        <f t="shared" si="10"/>
        <v>15.213099999999999</v>
      </c>
      <c r="P63" s="58">
        <f t="shared" si="11"/>
        <v>0</v>
      </c>
      <c r="Q63" s="58">
        <f t="shared" si="12"/>
        <v>15.213099999999999</v>
      </c>
      <c r="R63" s="107">
        <f aca="true" t="shared" si="18" ref="R63:R85">Q63*$R$60</f>
        <v>0</v>
      </c>
    </row>
    <row r="64" spans="1:18" ht="12.75">
      <c r="A64" s="256" t="s">
        <v>19</v>
      </c>
      <c r="B64" s="223">
        <f t="shared" si="4"/>
        <v>38.0494</v>
      </c>
      <c r="C64" s="58">
        <f t="shared" si="5"/>
        <v>0</v>
      </c>
      <c r="D64" s="58">
        <f>B64+C64</f>
        <v>38.0494</v>
      </c>
      <c r="E64" s="107">
        <f aca="true" t="shared" si="19" ref="E64:E84">D64*$E$60</f>
        <v>2273.832144</v>
      </c>
      <c r="F64" s="223">
        <f t="shared" si="13"/>
        <v>47.3246</v>
      </c>
      <c r="G64" s="199">
        <f t="shared" si="14"/>
        <v>0</v>
      </c>
      <c r="H64" s="223">
        <f t="shared" si="6"/>
        <v>0</v>
      </c>
      <c r="I64" s="199">
        <f t="shared" si="15"/>
        <v>0</v>
      </c>
      <c r="J64" s="223">
        <f t="shared" si="7"/>
        <v>3.63103</v>
      </c>
      <c r="K64" s="58">
        <f t="shared" si="8"/>
        <v>0</v>
      </c>
      <c r="L64" s="58">
        <f t="shared" si="9"/>
        <v>0</v>
      </c>
      <c r="M64" s="58">
        <f t="shared" si="16"/>
        <v>3.63103</v>
      </c>
      <c r="N64" s="107">
        <f t="shared" si="17"/>
        <v>362.6309661</v>
      </c>
      <c r="O64" s="223">
        <f t="shared" si="10"/>
        <v>5.55985</v>
      </c>
      <c r="P64" s="58">
        <f t="shared" si="11"/>
        <v>0</v>
      </c>
      <c r="Q64" s="58">
        <f t="shared" si="12"/>
        <v>5.55985</v>
      </c>
      <c r="R64" s="107">
        <f t="shared" si="18"/>
        <v>0</v>
      </c>
    </row>
    <row r="65" spans="1:18" ht="12.75">
      <c r="A65" s="256" t="s">
        <v>51</v>
      </c>
      <c r="B65" s="223">
        <f t="shared" si="4"/>
        <v>60.359199999999994</v>
      </c>
      <c r="C65" s="58">
        <f t="shared" si="5"/>
        <v>0</v>
      </c>
      <c r="D65" s="58">
        <f aca="true" t="shared" si="20" ref="D65:D84">B65+C65</f>
        <v>60.359199999999994</v>
      </c>
      <c r="E65" s="107">
        <f t="shared" si="19"/>
        <v>3607.0657919999994</v>
      </c>
      <c r="F65" s="223">
        <f t="shared" si="13"/>
        <v>75.0728</v>
      </c>
      <c r="G65" s="199">
        <f t="shared" si="14"/>
        <v>0</v>
      </c>
      <c r="H65" s="223">
        <f t="shared" si="6"/>
        <v>0</v>
      </c>
      <c r="I65" s="199">
        <f t="shared" si="15"/>
        <v>0</v>
      </c>
      <c r="J65" s="223">
        <f t="shared" si="7"/>
        <v>5.76004</v>
      </c>
      <c r="K65" s="58">
        <f t="shared" si="8"/>
        <v>0</v>
      </c>
      <c r="L65" s="58">
        <f t="shared" si="9"/>
        <v>0</v>
      </c>
      <c r="M65" s="58">
        <f t="shared" si="16"/>
        <v>5.76004</v>
      </c>
      <c r="N65" s="107">
        <f t="shared" si="17"/>
        <v>575.2551948</v>
      </c>
      <c r="O65" s="223">
        <f t="shared" si="10"/>
        <v>8.819799999999999</v>
      </c>
      <c r="P65" s="58">
        <f t="shared" si="11"/>
        <v>0</v>
      </c>
      <c r="Q65" s="58">
        <f t="shared" si="12"/>
        <v>8.819799999999999</v>
      </c>
      <c r="R65" s="107">
        <f t="shared" si="18"/>
        <v>0</v>
      </c>
    </row>
    <row r="66" spans="1:18" ht="12.75">
      <c r="A66" s="256" t="s">
        <v>11</v>
      </c>
      <c r="B66" s="223">
        <f t="shared" si="4"/>
        <v>31.2626</v>
      </c>
      <c r="C66" s="58">
        <f t="shared" si="5"/>
        <v>0</v>
      </c>
      <c r="D66" s="58">
        <f t="shared" si="20"/>
        <v>31.2626</v>
      </c>
      <c r="E66" s="107">
        <f t="shared" si="19"/>
        <v>1868.252976</v>
      </c>
      <c r="F66" s="223">
        <f t="shared" si="13"/>
        <v>38.8834</v>
      </c>
      <c r="G66" s="199">
        <f t="shared" si="14"/>
        <v>0</v>
      </c>
      <c r="H66" s="223">
        <f t="shared" si="6"/>
        <v>0</v>
      </c>
      <c r="I66" s="199">
        <f t="shared" si="15"/>
        <v>0</v>
      </c>
      <c r="J66" s="223">
        <f t="shared" si="7"/>
        <v>2.9833700000000003</v>
      </c>
      <c r="K66" s="58">
        <f t="shared" si="8"/>
        <v>2.99376</v>
      </c>
      <c r="L66" s="58">
        <f t="shared" si="9"/>
        <v>0</v>
      </c>
      <c r="M66" s="58">
        <f t="shared" si="16"/>
        <v>5.977130000000001</v>
      </c>
      <c r="N66" s="107">
        <f t="shared" si="17"/>
        <v>596.9359731000001</v>
      </c>
      <c r="O66" s="223">
        <f t="shared" si="10"/>
        <v>4.56815</v>
      </c>
      <c r="P66" s="58">
        <f t="shared" si="11"/>
        <v>4.3516</v>
      </c>
      <c r="Q66" s="58">
        <f t="shared" si="12"/>
        <v>8.91975</v>
      </c>
      <c r="R66" s="107">
        <f t="shared" si="18"/>
        <v>0</v>
      </c>
    </row>
    <row r="67" spans="1:18" ht="12.75">
      <c r="A67" s="256" t="s">
        <v>20</v>
      </c>
      <c r="B67" s="223">
        <f t="shared" si="4"/>
        <v>105.3398</v>
      </c>
      <c r="C67" s="58">
        <f t="shared" si="5"/>
        <v>0</v>
      </c>
      <c r="D67" s="58">
        <f t="shared" si="20"/>
        <v>105.3398</v>
      </c>
      <c r="E67" s="107">
        <f t="shared" si="19"/>
        <v>6295.106448</v>
      </c>
      <c r="F67" s="223">
        <f t="shared" si="13"/>
        <v>131.0182</v>
      </c>
      <c r="G67" s="199">
        <f t="shared" si="14"/>
        <v>0</v>
      </c>
      <c r="H67" s="223">
        <f t="shared" si="6"/>
        <v>0</v>
      </c>
      <c r="I67" s="199">
        <f t="shared" si="15"/>
        <v>0</v>
      </c>
      <c r="J67" s="223">
        <f t="shared" si="7"/>
        <v>10.052510000000002</v>
      </c>
      <c r="K67" s="58">
        <f t="shared" si="8"/>
        <v>7.17822</v>
      </c>
      <c r="L67" s="58">
        <f t="shared" si="9"/>
        <v>0</v>
      </c>
      <c r="M67" s="58">
        <f t="shared" si="16"/>
        <v>17.23073</v>
      </c>
      <c r="N67" s="107">
        <f t="shared" si="17"/>
        <v>1720.8330051000003</v>
      </c>
      <c r="O67" s="223">
        <f t="shared" si="10"/>
        <v>15.39245</v>
      </c>
      <c r="P67" s="58">
        <f t="shared" si="11"/>
        <v>10.433950000000001</v>
      </c>
      <c r="Q67" s="58">
        <f t="shared" si="12"/>
        <v>25.8264</v>
      </c>
      <c r="R67" s="107">
        <f t="shared" si="18"/>
        <v>0</v>
      </c>
    </row>
    <row r="68" spans="1:18" ht="12.75">
      <c r="A68" s="256" t="s">
        <v>21</v>
      </c>
      <c r="B68" s="223">
        <f t="shared" si="4"/>
        <v>15.5952</v>
      </c>
      <c r="C68" s="58">
        <f t="shared" si="5"/>
        <v>0</v>
      </c>
      <c r="D68" s="58">
        <f t="shared" si="20"/>
        <v>15.5952</v>
      </c>
      <c r="E68" s="107">
        <f t="shared" si="19"/>
        <v>931.969152</v>
      </c>
      <c r="F68" s="223">
        <f t="shared" si="13"/>
        <v>19.396800000000002</v>
      </c>
      <c r="G68" s="199">
        <f t="shared" si="14"/>
        <v>0</v>
      </c>
      <c r="H68" s="223">
        <f t="shared" si="6"/>
        <v>0</v>
      </c>
      <c r="I68" s="199">
        <f t="shared" si="15"/>
        <v>0</v>
      </c>
      <c r="J68" s="223">
        <f t="shared" si="7"/>
        <v>1.4882400000000002</v>
      </c>
      <c r="K68" s="58">
        <f t="shared" si="8"/>
        <v>0.40823999999999994</v>
      </c>
      <c r="L68" s="58">
        <f t="shared" si="9"/>
        <v>0</v>
      </c>
      <c r="M68" s="58">
        <f t="shared" si="16"/>
        <v>1.8964800000000002</v>
      </c>
      <c r="N68" s="107">
        <f t="shared" si="17"/>
        <v>189.40145760000001</v>
      </c>
      <c r="O68" s="223">
        <f t="shared" si="10"/>
        <v>2.2788</v>
      </c>
      <c r="P68" s="58">
        <f t="shared" si="11"/>
        <v>0.5933999999999999</v>
      </c>
      <c r="Q68" s="58">
        <f aca="true" t="shared" si="21" ref="Q68:Q84">O68+P68</f>
        <v>2.8722</v>
      </c>
      <c r="R68" s="107">
        <f t="shared" si="18"/>
        <v>0</v>
      </c>
    </row>
    <row r="69" spans="1:18" ht="12.75">
      <c r="A69" s="256" t="s">
        <v>65</v>
      </c>
      <c r="B69" s="223">
        <f t="shared" si="4"/>
        <v>24.331400000000002</v>
      </c>
      <c r="C69" s="58">
        <f t="shared" si="5"/>
        <v>0</v>
      </c>
      <c r="D69" s="58">
        <f t="shared" si="20"/>
        <v>24.331400000000002</v>
      </c>
      <c r="E69" s="107">
        <f t="shared" si="19"/>
        <v>1454.044464</v>
      </c>
      <c r="F69" s="223">
        <f t="shared" si="13"/>
        <v>30.2626</v>
      </c>
      <c r="G69" s="199">
        <f t="shared" si="14"/>
        <v>0</v>
      </c>
      <c r="H69" s="223">
        <f t="shared" si="6"/>
        <v>0</v>
      </c>
      <c r="I69" s="199">
        <f t="shared" si="15"/>
        <v>0</v>
      </c>
      <c r="J69" s="223">
        <f t="shared" si="7"/>
        <v>2.32193</v>
      </c>
      <c r="K69" s="58">
        <f t="shared" si="8"/>
        <v>0</v>
      </c>
      <c r="L69" s="58">
        <f t="shared" si="9"/>
        <v>0</v>
      </c>
      <c r="M69" s="58">
        <f t="shared" si="16"/>
        <v>2.32193</v>
      </c>
      <c r="N69" s="107">
        <f t="shared" si="17"/>
        <v>231.8911491</v>
      </c>
      <c r="O69" s="223">
        <f t="shared" si="10"/>
        <v>3.5553500000000002</v>
      </c>
      <c r="P69" s="58">
        <f t="shared" si="11"/>
        <v>0</v>
      </c>
      <c r="Q69" s="58">
        <f t="shared" si="21"/>
        <v>3.5553500000000002</v>
      </c>
      <c r="R69" s="107">
        <f t="shared" si="18"/>
        <v>0</v>
      </c>
    </row>
    <row r="70" spans="1:18" ht="12.75">
      <c r="A70" s="256" t="s">
        <v>50</v>
      </c>
      <c r="B70" s="223">
        <f t="shared" si="4"/>
        <v>13.6458</v>
      </c>
      <c r="C70" s="58">
        <f t="shared" si="5"/>
        <v>0</v>
      </c>
      <c r="D70" s="58">
        <f t="shared" si="20"/>
        <v>13.6458</v>
      </c>
      <c r="E70" s="107">
        <f t="shared" si="19"/>
        <v>815.4730079999999</v>
      </c>
      <c r="F70" s="223">
        <f t="shared" si="13"/>
        <v>16.9722</v>
      </c>
      <c r="G70" s="199">
        <f t="shared" si="14"/>
        <v>0</v>
      </c>
      <c r="H70" s="223">
        <f t="shared" si="6"/>
        <v>0</v>
      </c>
      <c r="I70" s="199">
        <f t="shared" si="15"/>
        <v>0</v>
      </c>
      <c r="J70" s="223">
        <f t="shared" si="7"/>
        <v>1.30221</v>
      </c>
      <c r="K70" s="58">
        <f t="shared" si="8"/>
        <v>0</v>
      </c>
      <c r="L70" s="58">
        <f t="shared" si="9"/>
        <v>0</v>
      </c>
      <c r="M70" s="58">
        <f t="shared" si="16"/>
        <v>1.30221</v>
      </c>
      <c r="N70" s="107">
        <f t="shared" si="17"/>
        <v>130.05171270000002</v>
      </c>
      <c r="O70" s="223">
        <f t="shared" si="10"/>
        <v>1.9939500000000001</v>
      </c>
      <c r="P70" s="58">
        <f t="shared" si="11"/>
        <v>0</v>
      </c>
      <c r="Q70" s="58">
        <f t="shared" si="21"/>
        <v>1.9939500000000001</v>
      </c>
      <c r="R70" s="107">
        <f t="shared" si="18"/>
        <v>0</v>
      </c>
    </row>
    <row r="71" spans="1:18" ht="12.75">
      <c r="A71" s="256" t="s">
        <v>33</v>
      </c>
      <c r="B71" s="223">
        <f t="shared" si="4"/>
        <v>85.91799999999999</v>
      </c>
      <c r="C71" s="58">
        <f t="shared" si="5"/>
        <v>0</v>
      </c>
      <c r="D71" s="58">
        <f t="shared" si="20"/>
        <v>85.91799999999999</v>
      </c>
      <c r="E71" s="107">
        <f t="shared" si="19"/>
        <v>5134.459679999999</v>
      </c>
      <c r="F71" s="223">
        <f aca="true" t="shared" si="22" ref="F71:F85">B39*$C$12</f>
        <v>106.862</v>
      </c>
      <c r="G71" s="199">
        <f t="shared" si="14"/>
        <v>0</v>
      </c>
      <c r="H71" s="223">
        <f t="shared" si="6"/>
        <v>0</v>
      </c>
      <c r="I71" s="199">
        <f t="shared" si="15"/>
        <v>0</v>
      </c>
      <c r="J71" s="223">
        <f t="shared" si="7"/>
        <v>8.1991</v>
      </c>
      <c r="K71" s="58">
        <f t="shared" si="8"/>
        <v>0</v>
      </c>
      <c r="L71" s="58">
        <f t="shared" si="9"/>
        <v>0</v>
      </c>
      <c r="M71" s="58">
        <f t="shared" si="16"/>
        <v>8.1991</v>
      </c>
      <c r="N71" s="107">
        <f t="shared" si="17"/>
        <v>818.844117</v>
      </c>
      <c r="O71" s="223">
        <f t="shared" si="10"/>
        <v>12.554499999999999</v>
      </c>
      <c r="P71" s="58">
        <f t="shared" si="11"/>
        <v>0</v>
      </c>
      <c r="Q71" s="58">
        <f t="shared" si="21"/>
        <v>12.554499999999999</v>
      </c>
      <c r="R71" s="107">
        <f t="shared" si="18"/>
        <v>0</v>
      </c>
    </row>
    <row r="72" spans="1:18" ht="12.75">
      <c r="A72" s="256" t="s">
        <v>17</v>
      </c>
      <c r="B72" s="223">
        <f t="shared" si="4"/>
        <v>18.3388</v>
      </c>
      <c r="C72" s="58">
        <f t="shared" si="5"/>
        <v>2.6832</v>
      </c>
      <c r="D72" s="58">
        <f t="shared" si="20"/>
        <v>21.022</v>
      </c>
      <c r="E72" s="107">
        <f t="shared" si="19"/>
        <v>1256.27472</v>
      </c>
      <c r="F72" s="223">
        <f t="shared" si="22"/>
        <v>22.8092</v>
      </c>
      <c r="G72" s="199">
        <f t="shared" si="14"/>
        <v>0</v>
      </c>
      <c r="H72" s="223">
        <f t="shared" si="6"/>
        <v>39.744899999999994</v>
      </c>
      <c r="I72" s="199">
        <f t="shared" si="15"/>
        <v>0</v>
      </c>
      <c r="J72" s="223">
        <f t="shared" si="7"/>
        <v>1.7500600000000002</v>
      </c>
      <c r="K72" s="58">
        <f t="shared" si="8"/>
        <v>0</v>
      </c>
      <c r="L72" s="58">
        <f t="shared" si="9"/>
        <v>0</v>
      </c>
      <c r="M72" s="58">
        <f t="shared" si="16"/>
        <v>1.7500600000000002</v>
      </c>
      <c r="N72" s="107">
        <f t="shared" si="17"/>
        <v>174.77849220000002</v>
      </c>
      <c r="O72" s="223">
        <f t="shared" si="10"/>
        <v>2.6797</v>
      </c>
      <c r="P72" s="58">
        <f t="shared" si="11"/>
        <v>0</v>
      </c>
      <c r="Q72" s="58">
        <f t="shared" si="21"/>
        <v>2.6797</v>
      </c>
      <c r="R72" s="107">
        <f t="shared" si="18"/>
        <v>0</v>
      </c>
    </row>
    <row r="73" spans="1:18" ht="12.75">
      <c r="A73" s="256" t="s">
        <v>191</v>
      </c>
      <c r="B73" s="223">
        <f t="shared" si="4"/>
        <v>0</v>
      </c>
      <c r="C73" s="58">
        <f t="shared" si="5"/>
        <v>0</v>
      </c>
      <c r="D73" s="58">
        <f>B73+C73</f>
        <v>0</v>
      </c>
      <c r="E73" s="107">
        <f>D73*$E$60</f>
        <v>0</v>
      </c>
      <c r="F73" s="223">
        <f t="shared" si="22"/>
        <v>0</v>
      </c>
      <c r="G73" s="199">
        <f>F73*$G$60</f>
        <v>0</v>
      </c>
      <c r="H73" s="223">
        <f aca="true" t="shared" si="23" ref="H73:H85">C41*$D$14</f>
        <v>0</v>
      </c>
      <c r="I73" s="199">
        <f>H73*$I$60</f>
        <v>0</v>
      </c>
      <c r="J73" s="223">
        <f aca="true" t="shared" si="24" ref="J73:J85">B41*$E$12</f>
        <v>0</v>
      </c>
      <c r="K73" s="58">
        <f aca="true" t="shared" si="25" ref="K73:K85">D41*$E$15</f>
        <v>0</v>
      </c>
      <c r="L73" s="58">
        <f aca="true" t="shared" si="26" ref="L73:L85">E41*$E$16</f>
        <v>0</v>
      </c>
      <c r="M73" s="58">
        <f>J73+K73+L73</f>
        <v>0</v>
      </c>
      <c r="N73" s="107">
        <f>M73*$N$60</f>
        <v>0</v>
      </c>
      <c r="O73" s="223">
        <f aca="true" t="shared" si="27" ref="O73:O85">B41*$F$12</f>
        <v>0</v>
      </c>
      <c r="P73" s="58">
        <f aca="true" t="shared" si="28" ref="P73:P85">D41*$F$15</f>
        <v>0</v>
      </c>
      <c r="Q73" s="58">
        <f>O73+P73</f>
        <v>0</v>
      </c>
      <c r="R73" s="107">
        <f>Q73*$R$60</f>
        <v>0</v>
      </c>
    </row>
    <row r="74" spans="1:18" ht="12.75">
      <c r="A74" s="256" t="s">
        <v>12</v>
      </c>
      <c r="B74" s="223">
        <f t="shared" si="4"/>
        <v>27.797</v>
      </c>
      <c r="C74" s="58">
        <f t="shared" si="5"/>
        <v>1.5344</v>
      </c>
      <c r="D74" s="58">
        <f t="shared" si="20"/>
        <v>29.331400000000002</v>
      </c>
      <c r="E74" s="107">
        <f t="shared" si="19"/>
        <v>1752.844464</v>
      </c>
      <c r="F74" s="223">
        <f t="shared" si="22"/>
        <v>34.573</v>
      </c>
      <c r="G74" s="199">
        <f t="shared" si="14"/>
        <v>0</v>
      </c>
      <c r="H74" s="223">
        <f t="shared" si="23"/>
        <v>22.7283</v>
      </c>
      <c r="I74" s="199">
        <f t="shared" si="15"/>
        <v>0</v>
      </c>
      <c r="J74" s="223">
        <f t="shared" si="24"/>
        <v>2.6526500000000004</v>
      </c>
      <c r="K74" s="58">
        <f t="shared" si="25"/>
        <v>3.6061199999999998</v>
      </c>
      <c r="L74" s="58">
        <f t="shared" si="26"/>
        <v>11.57646</v>
      </c>
      <c r="M74" s="58">
        <f t="shared" si="16"/>
        <v>17.835230000000003</v>
      </c>
      <c r="N74" s="107">
        <f t="shared" si="17"/>
        <v>1781.2044201000003</v>
      </c>
      <c r="O74" s="223">
        <f t="shared" si="27"/>
        <v>4.06175</v>
      </c>
      <c r="P74" s="58">
        <f t="shared" si="28"/>
        <v>5.2417</v>
      </c>
      <c r="Q74" s="58">
        <f t="shared" si="21"/>
        <v>9.30345</v>
      </c>
      <c r="R74" s="107">
        <f t="shared" si="18"/>
        <v>0</v>
      </c>
    </row>
    <row r="75" spans="1:18" ht="12.75">
      <c r="A75" s="256" t="s">
        <v>13</v>
      </c>
      <c r="B75" s="223">
        <f t="shared" si="4"/>
        <v>13.5736</v>
      </c>
      <c r="C75" s="58">
        <f t="shared" si="5"/>
        <v>0.2352</v>
      </c>
      <c r="D75" s="58">
        <f t="shared" si="20"/>
        <v>13.808800000000002</v>
      </c>
      <c r="E75" s="107">
        <f t="shared" si="19"/>
        <v>825.2138880000001</v>
      </c>
      <c r="F75" s="223">
        <f t="shared" si="22"/>
        <v>16.8824</v>
      </c>
      <c r="G75" s="199">
        <f t="shared" si="14"/>
        <v>0</v>
      </c>
      <c r="H75" s="223">
        <f t="shared" si="23"/>
        <v>3.4838999999999998</v>
      </c>
      <c r="I75" s="199">
        <f t="shared" si="15"/>
        <v>0</v>
      </c>
      <c r="J75" s="223">
        <f t="shared" si="24"/>
        <v>1.2953200000000002</v>
      </c>
      <c r="K75" s="58">
        <f t="shared" si="25"/>
        <v>0</v>
      </c>
      <c r="L75" s="58">
        <f t="shared" si="26"/>
        <v>0</v>
      </c>
      <c r="M75" s="58">
        <f t="shared" si="16"/>
        <v>1.2953200000000002</v>
      </c>
      <c r="N75" s="107">
        <f t="shared" si="17"/>
        <v>129.36360840000003</v>
      </c>
      <c r="O75" s="223">
        <f t="shared" si="27"/>
        <v>1.9834</v>
      </c>
      <c r="P75" s="58">
        <f t="shared" si="28"/>
        <v>0</v>
      </c>
      <c r="Q75" s="58">
        <f t="shared" si="21"/>
        <v>1.9834</v>
      </c>
      <c r="R75" s="107">
        <f t="shared" si="18"/>
        <v>0</v>
      </c>
    </row>
    <row r="76" spans="1:18" ht="12.75">
      <c r="A76" s="256" t="s">
        <v>9</v>
      </c>
      <c r="B76" s="223">
        <f t="shared" si="4"/>
        <v>38.1938</v>
      </c>
      <c r="C76" s="58">
        <f t="shared" si="5"/>
        <v>4.9024</v>
      </c>
      <c r="D76" s="58">
        <f t="shared" si="20"/>
        <v>43.0962</v>
      </c>
      <c r="E76" s="107">
        <f t="shared" si="19"/>
        <v>2575.4289120000003</v>
      </c>
      <c r="F76" s="223">
        <f t="shared" si="22"/>
        <v>47.504200000000004</v>
      </c>
      <c r="G76" s="199">
        <f t="shared" si="14"/>
        <v>0</v>
      </c>
      <c r="H76" s="223">
        <f t="shared" si="23"/>
        <v>72.6168</v>
      </c>
      <c r="I76" s="199">
        <f t="shared" si="15"/>
        <v>0</v>
      </c>
      <c r="J76" s="223">
        <f t="shared" si="24"/>
        <v>3.6448100000000005</v>
      </c>
      <c r="K76" s="58">
        <f t="shared" si="25"/>
        <v>0</v>
      </c>
      <c r="L76" s="58">
        <f t="shared" si="26"/>
        <v>46.12524</v>
      </c>
      <c r="M76" s="58">
        <f t="shared" si="16"/>
        <v>49.77005</v>
      </c>
      <c r="N76" s="107">
        <f t="shared" si="17"/>
        <v>4970.5348935</v>
      </c>
      <c r="O76" s="223">
        <f t="shared" si="27"/>
        <v>5.5809500000000005</v>
      </c>
      <c r="P76" s="58">
        <f t="shared" si="28"/>
        <v>0</v>
      </c>
      <c r="Q76" s="58">
        <f t="shared" si="21"/>
        <v>5.5809500000000005</v>
      </c>
      <c r="R76" s="107">
        <f t="shared" si="18"/>
        <v>0</v>
      </c>
    </row>
    <row r="77" spans="1:18" ht="12.75">
      <c r="A77" s="256" t="s">
        <v>14</v>
      </c>
      <c r="B77" s="223">
        <f t="shared" si="4"/>
        <v>12.995999999999999</v>
      </c>
      <c r="C77" s="58">
        <f t="shared" si="5"/>
        <v>0</v>
      </c>
      <c r="D77" s="58">
        <f t="shared" si="20"/>
        <v>12.995999999999999</v>
      </c>
      <c r="E77" s="107">
        <f t="shared" si="19"/>
        <v>776.64096</v>
      </c>
      <c r="F77" s="223">
        <f t="shared" si="22"/>
        <v>16.163999999999998</v>
      </c>
      <c r="G77" s="199">
        <f t="shared" si="14"/>
        <v>0</v>
      </c>
      <c r="H77" s="223">
        <f t="shared" si="23"/>
        <v>0</v>
      </c>
      <c r="I77" s="199">
        <f t="shared" si="15"/>
        <v>0</v>
      </c>
      <c r="J77" s="223">
        <f t="shared" si="24"/>
        <v>1.2402</v>
      </c>
      <c r="K77" s="58">
        <f t="shared" si="25"/>
        <v>9.1854</v>
      </c>
      <c r="L77" s="58">
        <f t="shared" si="26"/>
        <v>0</v>
      </c>
      <c r="M77" s="58">
        <f t="shared" si="16"/>
        <v>10.4256</v>
      </c>
      <c r="N77" s="107">
        <f t="shared" si="17"/>
        <v>1041.204672</v>
      </c>
      <c r="O77" s="223">
        <f t="shared" si="27"/>
        <v>1.8989999999999998</v>
      </c>
      <c r="P77" s="58">
        <f t="shared" si="28"/>
        <v>13.3515</v>
      </c>
      <c r="Q77" s="58">
        <f t="shared" si="21"/>
        <v>15.250499999999999</v>
      </c>
      <c r="R77" s="107">
        <f t="shared" si="18"/>
        <v>0</v>
      </c>
    </row>
    <row r="78" spans="1:18" ht="12.75">
      <c r="A78" s="256" t="s">
        <v>15</v>
      </c>
      <c r="B78" s="223">
        <f t="shared" si="4"/>
        <v>30.0352</v>
      </c>
      <c r="C78" s="58">
        <f t="shared" si="5"/>
        <v>0</v>
      </c>
      <c r="D78" s="58">
        <f t="shared" si="20"/>
        <v>30.0352</v>
      </c>
      <c r="E78" s="107">
        <f t="shared" si="19"/>
        <v>1794.903552</v>
      </c>
      <c r="F78" s="223">
        <f t="shared" si="22"/>
        <v>37.3568</v>
      </c>
      <c r="G78" s="199">
        <f t="shared" si="14"/>
        <v>0</v>
      </c>
      <c r="H78" s="223">
        <f t="shared" si="23"/>
        <v>0</v>
      </c>
      <c r="I78" s="199">
        <f t="shared" si="15"/>
        <v>0</v>
      </c>
      <c r="J78" s="223">
        <f t="shared" si="24"/>
        <v>2.86624</v>
      </c>
      <c r="K78" s="58">
        <f t="shared" si="25"/>
        <v>3.2319</v>
      </c>
      <c r="L78" s="58">
        <f t="shared" si="26"/>
        <v>0.51471</v>
      </c>
      <c r="M78" s="58">
        <f t="shared" si="16"/>
        <v>6.61285</v>
      </c>
      <c r="N78" s="107">
        <f t="shared" si="17"/>
        <v>660.4253295</v>
      </c>
      <c r="O78" s="223">
        <f t="shared" si="27"/>
        <v>4.3888</v>
      </c>
      <c r="P78" s="58">
        <f t="shared" si="28"/>
        <v>4.69775</v>
      </c>
      <c r="Q78" s="58">
        <f t="shared" si="21"/>
        <v>9.086549999999999</v>
      </c>
      <c r="R78" s="107">
        <f t="shared" si="18"/>
        <v>0</v>
      </c>
    </row>
    <row r="79" spans="1:18" ht="12.75">
      <c r="A79" s="256" t="s">
        <v>10</v>
      </c>
      <c r="B79" s="223">
        <f t="shared" si="4"/>
        <v>32.9232</v>
      </c>
      <c r="C79" s="58">
        <f t="shared" si="5"/>
        <v>2.6128</v>
      </c>
      <c r="D79" s="58">
        <f t="shared" si="20"/>
        <v>35.536</v>
      </c>
      <c r="E79" s="107">
        <f t="shared" si="19"/>
        <v>2123.63136</v>
      </c>
      <c r="F79" s="223">
        <f t="shared" si="22"/>
        <v>40.9488</v>
      </c>
      <c r="G79" s="199">
        <f t="shared" si="14"/>
        <v>0</v>
      </c>
      <c r="H79" s="223">
        <f t="shared" si="23"/>
        <v>38.7021</v>
      </c>
      <c r="I79" s="199">
        <f t="shared" si="15"/>
        <v>0</v>
      </c>
      <c r="J79" s="223">
        <f t="shared" si="24"/>
        <v>3.14184</v>
      </c>
      <c r="K79" s="58">
        <f t="shared" si="25"/>
        <v>0</v>
      </c>
      <c r="L79" s="58">
        <f t="shared" si="26"/>
        <v>0</v>
      </c>
      <c r="M79" s="58">
        <f t="shared" si="16"/>
        <v>3.14184</v>
      </c>
      <c r="N79" s="107">
        <f t="shared" si="17"/>
        <v>313.77556080000005</v>
      </c>
      <c r="O79" s="223">
        <f t="shared" si="27"/>
        <v>4.8108</v>
      </c>
      <c r="P79" s="58">
        <f t="shared" si="28"/>
        <v>0</v>
      </c>
      <c r="Q79" s="58">
        <f t="shared" si="21"/>
        <v>4.8108</v>
      </c>
      <c r="R79" s="107">
        <f t="shared" si="18"/>
        <v>0</v>
      </c>
    </row>
    <row r="80" spans="1:18" ht="12.75">
      <c r="A80" s="256" t="s">
        <v>8</v>
      </c>
      <c r="B80" s="223">
        <f t="shared" si="4"/>
        <v>46.71339999999999</v>
      </c>
      <c r="C80" s="58">
        <f t="shared" si="5"/>
        <v>2.24</v>
      </c>
      <c r="D80" s="58">
        <f t="shared" si="20"/>
        <v>48.953399999999995</v>
      </c>
      <c r="E80" s="107">
        <f t="shared" si="19"/>
        <v>2925.4551839999995</v>
      </c>
      <c r="F80" s="223">
        <f t="shared" si="22"/>
        <v>58.10059999999999</v>
      </c>
      <c r="G80" s="199">
        <f t="shared" si="14"/>
        <v>0</v>
      </c>
      <c r="H80" s="223">
        <f t="shared" si="23"/>
        <v>33.18</v>
      </c>
      <c r="I80" s="199">
        <f t="shared" si="15"/>
        <v>0</v>
      </c>
      <c r="J80" s="223">
        <f t="shared" si="24"/>
        <v>4.4578299999999995</v>
      </c>
      <c r="K80" s="58">
        <f t="shared" si="25"/>
        <v>217.08162</v>
      </c>
      <c r="L80" s="58">
        <f t="shared" si="26"/>
        <v>28.408379999999998</v>
      </c>
      <c r="M80" s="58">
        <f t="shared" si="16"/>
        <v>249.94782999999998</v>
      </c>
      <c r="N80" s="107">
        <f t="shared" si="17"/>
        <v>24962.2897821</v>
      </c>
      <c r="O80" s="223">
        <f t="shared" si="27"/>
        <v>6.825849999999999</v>
      </c>
      <c r="P80" s="58">
        <f t="shared" si="28"/>
        <v>315.54045</v>
      </c>
      <c r="Q80" s="58">
        <f t="shared" si="21"/>
        <v>322.3663</v>
      </c>
      <c r="R80" s="107">
        <f t="shared" si="18"/>
        <v>0</v>
      </c>
    </row>
    <row r="81" spans="1:18" ht="12.75">
      <c r="A81" s="256" t="s">
        <v>18</v>
      </c>
      <c r="B81" s="223">
        <f t="shared" si="4"/>
        <v>1.8772</v>
      </c>
      <c r="C81" s="58">
        <f t="shared" si="5"/>
        <v>0.0832</v>
      </c>
      <c r="D81" s="58">
        <f t="shared" si="20"/>
        <v>1.9604</v>
      </c>
      <c r="E81" s="107">
        <f t="shared" si="19"/>
        <v>117.153504</v>
      </c>
      <c r="F81" s="223">
        <f t="shared" si="22"/>
        <v>2.3348</v>
      </c>
      <c r="G81" s="199">
        <f t="shared" si="14"/>
        <v>0</v>
      </c>
      <c r="H81" s="223">
        <f t="shared" si="23"/>
        <v>1.2324</v>
      </c>
      <c r="I81" s="199">
        <f t="shared" si="15"/>
        <v>0</v>
      </c>
      <c r="J81" s="223">
        <f t="shared" si="24"/>
        <v>0.17914</v>
      </c>
      <c r="K81" s="58">
        <f t="shared" si="25"/>
        <v>8.607059999999999</v>
      </c>
      <c r="L81" s="58">
        <f t="shared" si="26"/>
        <v>1.12875</v>
      </c>
      <c r="M81" s="58">
        <f t="shared" si="16"/>
        <v>9.91495</v>
      </c>
      <c r="N81" s="107">
        <f t="shared" si="17"/>
        <v>990.2060564999999</v>
      </c>
      <c r="O81" s="223">
        <f t="shared" si="27"/>
        <v>0.2743</v>
      </c>
      <c r="P81" s="58">
        <f t="shared" si="28"/>
        <v>12.51085</v>
      </c>
      <c r="Q81" s="58">
        <f t="shared" si="21"/>
        <v>12.78515</v>
      </c>
      <c r="R81" s="107">
        <f t="shared" si="18"/>
        <v>0</v>
      </c>
    </row>
    <row r="82" spans="1:18" ht="12.75">
      <c r="A82" s="256" t="s">
        <v>162</v>
      </c>
      <c r="B82" s="223">
        <f t="shared" si="4"/>
        <v>4.0432</v>
      </c>
      <c r="C82" s="58">
        <f t="shared" si="5"/>
        <v>0.0784</v>
      </c>
      <c r="D82" s="58">
        <f>B82+C82</f>
        <v>4.1216</v>
      </c>
      <c r="E82" s="107">
        <f>D82*$E$60</f>
        <v>246.306816</v>
      </c>
      <c r="F82" s="223">
        <f t="shared" si="22"/>
        <v>5.0288</v>
      </c>
      <c r="G82" s="199">
        <f>F82*$G$60</f>
        <v>0</v>
      </c>
      <c r="H82" s="223">
        <f t="shared" si="23"/>
        <v>1.1613</v>
      </c>
      <c r="I82" s="199">
        <f>H82*$I$60</f>
        <v>0</v>
      </c>
      <c r="J82" s="223">
        <f t="shared" si="24"/>
        <v>0.38584</v>
      </c>
      <c r="K82" s="58">
        <f t="shared" si="25"/>
        <v>30.788099999999996</v>
      </c>
      <c r="L82" s="58">
        <f t="shared" si="26"/>
        <v>0</v>
      </c>
      <c r="M82" s="58">
        <f>J82+K82+L82</f>
        <v>31.173939999999998</v>
      </c>
      <c r="N82" s="107">
        <f>M82*$N$60</f>
        <v>3113.3413878</v>
      </c>
      <c r="O82" s="223">
        <f t="shared" si="27"/>
        <v>0.5908</v>
      </c>
      <c r="P82" s="58">
        <f t="shared" si="28"/>
        <v>44.75225</v>
      </c>
      <c r="Q82" s="58">
        <f>O82+P82</f>
        <v>45.34305</v>
      </c>
      <c r="R82" s="107">
        <f>Q82*$R$60</f>
        <v>0</v>
      </c>
    </row>
    <row r="83" spans="1:18" ht="12.75">
      <c r="A83" s="256" t="s">
        <v>163</v>
      </c>
      <c r="B83" s="223">
        <f t="shared" si="4"/>
        <v>2.9602000000000004</v>
      </c>
      <c r="C83" s="58">
        <f t="shared" si="5"/>
        <v>0.1504</v>
      </c>
      <c r="D83" s="58">
        <f t="shared" si="20"/>
        <v>3.1106000000000003</v>
      </c>
      <c r="E83" s="107">
        <f t="shared" si="19"/>
        <v>185.889456</v>
      </c>
      <c r="F83" s="223">
        <f t="shared" si="22"/>
        <v>3.6818000000000004</v>
      </c>
      <c r="G83" s="199">
        <f t="shared" si="14"/>
        <v>0</v>
      </c>
      <c r="H83" s="223">
        <f t="shared" si="23"/>
        <v>2.2278000000000002</v>
      </c>
      <c r="I83" s="199">
        <f t="shared" si="15"/>
        <v>0</v>
      </c>
      <c r="J83" s="223">
        <f t="shared" si="24"/>
        <v>0.2824900000000001</v>
      </c>
      <c r="K83" s="58">
        <f t="shared" si="25"/>
        <v>0.20411999999999997</v>
      </c>
      <c r="L83" s="58">
        <f t="shared" si="26"/>
        <v>1.06554</v>
      </c>
      <c r="M83" s="58">
        <f t="shared" si="16"/>
        <v>1.55215</v>
      </c>
      <c r="N83" s="107">
        <f t="shared" si="17"/>
        <v>155.0132205</v>
      </c>
      <c r="O83" s="223">
        <f t="shared" si="27"/>
        <v>0.43255000000000005</v>
      </c>
      <c r="P83" s="58">
        <f t="shared" si="28"/>
        <v>0.29669999999999996</v>
      </c>
      <c r="Q83" s="58">
        <f t="shared" si="21"/>
        <v>0.72925</v>
      </c>
      <c r="R83" s="107">
        <f t="shared" si="18"/>
        <v>0</v>
      </c>
    </row>
    <row r="84" spans="1:18" ht="12.75">
      <c r="A84" s="256" t="s">
        <v>141</v>
      </c>
      <c r="B84" s="223">
        <f t="shared" si="4"/>
        <v>1.3718</v>
      </c>
      <c r="C84" s="58">
        <f t="shared" si="5"/>
        <v>0.0464</v>
      </c>
      <c r="D84" s="58">
        <f t="shared" si="20"/>
        <v>1.4182</v>
      </c>
      <c r="E84" s="107">
        <f t="shared" si="19"/>
        <v>84.75163199999999</v>
      </c>
      <c r="F84" s="223">
        <f t="shared" si="22"/>
        <v>1.7062</v>
      </c>
      <c r="G84" s="199">
        <f t="shared" si="14"/>
        <v>0</v>
      </c>
      <c r="H84" s="223">
        <f t="shared" si="23"/>
        <v>0.6872999999999999</v>
      </c>
      <c r="I84" s="199">
        <f t="shared" si="15"/>
        <v>0</v>
      </c>
      <c r="J84" s="223">
        <f t="shared" si="24"/>
        <v>0.13091</v>
      </c>
      <c r="K84" s="58">
        <f t="shared" si="25"/>
        <v>6.531839999999999</v>
      </c>
      <c r="L84" s="58">
        <f t="shared" si="26"/>
        <v>0.7675500000000001</v>
      </c>
      <c r="M84" s="58">
        <f t="shared" si="16"/>
        <v>7.430299999999999</v>
      </c>
      <c r="N84" s="107">
        <f t="shared" si="17"/>
        <v>742.0640609999999</v>
      </c>
      <c r="O84" s="223">
        <f t="shared" si="27"/>
        <v>0.20045</v>
      </c>
      <c r="P84" s="58">
        <f t="shared" si="28"/>
        <v>9.494399999999999</v>
      </c>
      <c r="Q84" s="58">
        <f t="shared" si="21"/>
        <v>9.694849999999999</v>
      </c>
      <c r="R84" s="107">
        <f t="shared" si="18"/>
        <v>0</v>
      </c>
    </row>
    <row r="85" spans="1:18" ht="13.5" thickBot="1">
      <c r="A85" s="263" t="s">
        <v>142</v>
      </c>
      <c r="B85" s="223">
        <f t="shared" si="4"/>
        <v>0</v>
      </c>
      <c r="C85" s="58">
        <f t="shared" si="5"/>
        <v>0</v>
      </c>
      <c r="D85" s="58">
        <f>B85+C85</f>
        <v>0</v>
      </c>
      <c r="E85" s="107">
        <f>D85*$E$60</f>
        <v>0</v>
      </c>
      <c r="F85" s="223">
        <f t="shared" si="22"/>
        <v>0</v>
      </c>
      <c r="G85" s="199">
        <f t="shared" si="14"/>
        <v>0</v>
      </c>
      <c r="H85" s="223">
        <f t="shared" si="23"/>
        <v>0</v>
      </c>
      <c r="I85" s="199">
        <f t="shared" si="15"/>
        <v>0</v>
      </c>
      <c r="J85" s="223">
        <f t="shared" si="24"/>
        <v>0</v>
      </c>
      <c r="K85" s="58">
        <f t="shared" si="25"/>
        <v>49.6692</v>
      </c>
      <c r="L85" s="58">
        <f t="shared" si="26"/>
        <v>0.7133700000000001</v>
      </c>
      <c r="M85" s="58">
        <f t="shared" si="16"/>
        <v>50.382569999999994</v>
      </c>
      <c r="N85" s="107">
        <f t="shared" si="17"/>
        <v>5031.7072659</v>
      </c>
      <c r="O85" s="223">
        <f t="shared" si="27"/>
        <v>0</v>
      </c>
      <c r="P85" s="58">
        <f t="shared" si="28"/>
        <v>72.19699999999999</v>
      </c>
      <c r="Q85" s="58">
        <f>O85+P85</f>
        <v>72.19699999999999</v>
      </c>
      <c r="R85" s="107">
        <f t="shared" si="18"/>
        <v>0</v>
      </c>
    </row>
    <row r="86" spans="1:18" ht="13.5" thickBot="1">
      <c r="A86" s="264" t="s">
        <v>56</v>
      </c>
      <c r="B86" s="225">
        <f>SUM(B62:B85)</f>
        <v>722</v>
      </c>
      <c r="C86" s="259">
        <f aca="true" t="shared" si="29" ref="C86:R86">SUM(C62:C85)</f>
        <v>15.999999999999998</v>
      </c>
      <c r="D86" s="259">
        <f t="shared" si="29"/>
        <v>737.9999999999999</v>
      </c>
      <c r="E86" s="260">
        <f t="shared" si="29"/>
        <v>44102.88</v>
      </c>
      <c r="F86" s="225">
        <f t="shared" si="29"/>
        <v>897.9999999999999</v>
      </c>
      <c r="G86" s="260">
        <f t="shared" si="29"/>
        <v>0</v>
      </c>
      <c r="H86" s="225">
        <f t="shared" si="29"/>
        <v>237.00000000000003</v>
      </c>
      <c r="I86" s="260">
        <f t="shared" si="29"/>
        <v>0</v>
      </c>
      <c r="J86" s="225">
        <f t="shared" si="29"/>
        <v>68.9</v>
      </c>
      <c r="K86" s="259">
        <f t="shared" si="29"/>
        <v>340.19999999999993</v>
      </c>
      <c r="L86" s="259">
        <f t="shared" si="29"/>
        <v>90.3</v>
      </c>
      <c r="M86" s="259">
        <f t="shared" si="29"/>
        <v>499.4</v>
      </c>
      <c r="N86" s="260">
        <f t="shared" si="29"/>
        <v>49875.077999999994</v>
      </c>
      <c r="O86" s="225">
        <f t="shared" si="29"/>
        <v>105.50000000000001</v>
      </c>
      <c r="P86" s="259">
        <f t="shared" si="29"/>
        <v>494.5</v>
      </c>
      <c r="Q86" s="259">
        <f t="shared" si="29"/>
        <v>600</v>
      </c>
      <c r="R86" s="260">
        <f t="shared" si="29"/>
        <v>0</v>
      </c>
    </row>
    <row r="87" spans="1:7" ht="12.75">
      <c r="A87" s="136" t="s">
        <v>90</v>
      </c>
      <c r="B87" s="25"/>
      <c r="C87" s="25"/>
      <c r="D87" s="25"/>
      <c r="E87" s="9"/>
      <c r="F87" s="25"/>
      <c r="G87" s="9"/>
    </row>
    <row r="88" spans="1:4" ht="15">
      <c r="A88" s="54" t="s">
        <v>95</v>
      </c>
      <c r="B88" s="117"/>
      <c r="C88" s="117"/>
      <c r="D88" s="118"/>
    </row>
    <row r="89" spans="1:4" ht="15">
      <c r="A89" s="54" t="s">
        <v>98</v>
      </c>
      <c r="B89" s="117"/>
      <c r="C89" s="117"/>
      <c r="D89" s="118"/>
    </row>
    <row r="90" ht="13.5" thickBot="1"/>
    <row r="91" spans="1:2" ht="16.5" thickBot="1">
      <c r="A91" s="266" t="s">
        <v>80</v>
      </c>
      <c r="B91" s="6"/>
    </row>
    <row r="92" spans="1:4" ht="89.25">
      <c r="A92" s="265" t="s">
        <v>3</v>
      </c>
      <c r="B92" s="89" t="s">
        <v>99</v>
      </c>
      <c r="C92" s="103" t="s">
        <v>156</v>
      </c>
      <c r="D92" s="68"/>
    </row>
    <row r="93" spans="1:3" ht="12.75">
      <c r="A93" s="50" t="s">
        <v>30</v>
      </c>
      <c r="B93" s="123">
        <f>B22*E60</f>
        <v>9501.84</v>
      </c>
      <c r="C93" s="126">
        <f>(B12+B17)*E60</f>
        <v>44102.88</v>
      </c>
    </row>
    <row r="94" spans="1:3" ht="12.75">
      <c r="A94" s="50" t="s">
        <v>41</v>
      </c>
      <c r="B94" s="123">
        <f>C22*G60</f>
        <v>0</v>
      </c>
      <c r="C94" s="126">
        <f>(C12+C17)*G60</f>
        <v>0</v>
      </c>
    </row>
    <row r="95" spans="1:3" ht="12.75">
      <c r="A95" s="50" t="s">
        <v>5</v>
      </c>
      <c r="B95" s="123">
        <f>D22*I60</f>
        <v>0</v>
      </c>
      <c r="C95" s="126">
        <f>(D12+D17)*I60</f>
        <v>0</v>
      </c>
    </row>
    <row r="96" spans="1:3" ht="12.75">
      <c r="A96" s="200" t="s">
        <v>8</v>
      </c>
      <c r="B96" s="123">
        <f>E22*N60</f>
        <v>0</v>
      </c>
      <c r="C96" s="126">
        <f>(E12+E17)*N60</f>
        <v>49875.078</v>
      </c>
    </row>
    <row r="97" spans="1:3" ht="12.75">
      <c r="A97" s="200" t="s">
        <v>42</v>
      </c>
      <c r="B97" s="123">
        <f>F22*R60</f>
        <v>0</v>
      </c>
      <c r="C97" s="126">
        <f>(F12+F17)*R60</f>
        <v>0</v>
      </c>
    </row>
    <row r="98" spans="1:3" ht="12.75">
      <c r="A98" s="200" t="s">
        <v>43</v>
      </c>
      <c r="B98" s="184">
        <f>H22*T60</f>
        <v>0</v>
      </c>
      <c r="C98" s="126">
        <f>(H12+H17)*T60</f>
        <v>0</v>
      </c>
    </row>
    <row r="99" spans="1:3" ht="12.75">
      <c r="A99" s="200" t="s">
        <v>15</v>
      </c>
      <c r="B99" s="184">
        <f>I22*V60</f>
        <v>0</v>
      </c>
      <c r="C99" s="126">
        <f>(I12+I17)*V60</f>
        <v>0</v>
      </c>
    </row>
    <row r="100" spans="1:3" ht="13.5" thickBot="1">
      <c r="A100" s="104" t="s">
        <v>56</v>
      </c>
      <c r="B100" s="201">
        <f>SUM(B93:B99)</f>
        <v>9501.84</v>
      </c>
      <c r="C100" s="202">
        <f>SUM(C93:C99)</f>
        <v>93977.958</v>
      </c>
    </row>
  </sheetData>
  <sheetProtection/>
  <mergeCells count="15">
    <mergeCell ref="A3:A4"/>
    <mergeCell ref="B59:E59"/>
    <mergeCell ref="H59:I59"/>
    <mergeCell ref="A55:C55"/>
    <mergeCell ref="O59:R59"/>
    <mergeCell ref="O60:Q60"/>
    <mergeCell ref="B60:D60"/>
    <mergeCell ref="A58:A60"/>
    <mergeCell ref="A25:D25"/>
    <mergeCell ref="F59:G59"/>
    <mergeCell ref="J59:N59"/>
    <mergeCell ref="J60:M60"/>
    <mergeCell ref="S61:V61"/>
    <mergeCell ref="S59:T59"/>
    <mergeCell ref="U59:V59"/>
  </mergeCells>
  <printOptions/>
  <pageMargins left="0.45" right="0.45" top="0.5" bottom="0.5" header="0" footer="0"/>
  <pageSetup fitToHeight="1" fitToWidth="1" horizontalDpi="600" verticalDpi="600" orientation="landscape" scale="30" r:id="rId1"/>
  <rowBreaks count="1" manualBreakCount="1">
    <brk id="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Jeffrey Bastian</cp:lastModifiedBy>
  <cp:lastPrinted>2013-05-21T13:15:16Z</cp:lastPrinted>
  <dcterms:created xsi:type="dcterms:W3CDTF">2007-03-21T19:37:11Z</dcterms:created>
  <dcterms:modified xsi:type="dcterms:W3CDTF">2013-05-24T17:10:31Z</dcterms:modified>
  <cp:category/>
  <cp:version/>
  <cp:contentType/>
  <cp:contentStatus/>
</cp:coreProperties>
</file>