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2240" windowHeight="9240" activeTab="0"/>
  </bookViews>
  <sheets>
    <sheet name="UCAP Oblig-ZCP" sheetId="1" r:id="rId1"/>
    <sheet name="Summary" sheetId="2" r:id="rId2"/>
    <sheet name="BRA Resource Clearing Results" sheetId="3" r:id="rId3"/>
    <sheet name="BRA Load Pricing Results" sheetId="4" r:id="rId4"/>
    <sheet name="BRA CTRs" sheetId="5" r:id="rId5"/>
    <sheet name="BRA ICTRs" sheetId="6" r:id="rId6"/>
    <sheet name="1stIA Resource Clearing Results" sheetId="7" r:id="rId7"/>
    <sheet name="1st IA Load Pricing Results" sheetId="8" r:id="rId8"/>
    <sheet name="1st IA CTRs" sheetId="9" r:id="rId9"/>
    <sheet name="1st IA ICTRs" sheetId="10" r:id="rId10"/>
  </sheets>
  <definedNames>
    <definedName name="_xlnm.Print_Area" localSheetId="8">'1st IA CTRs'!$A$1:$V$41</definedName>
    <definedName name="_xlnm.Print_Area" localSheetId="9">'1st IA ICTRs'!$A$1:$R$93</definedName>
    <definedName name="_xlnm.Print_Area" localSheetId="7">'1st IA Load Pricing Results'!$A$1:$M$59</definedName>
    <definedName name="_xlnm.Print_Area" localSheetId="6">'1stIA Resource Clearing Results'!$A$1:$Y$70</definedName>
    <definedName name="_xlnm.Print_Area" localSheetId="4">'BRA CTRs'!$A$1:$V$43</definedName>
    <definedName name="_xlnm.Print_Area" localSheetId="5">'BRA ICTRs'!$A$1:$R$93</definedName>
    <definedName name="_xlnm.Print_Area" localSheetId="3">'BRA Load Pricing Results'!$A$1:$L$56</definedName>
    <definedName name="_xlnm.Print_Area" localSheetId="2">'BRA Resource Clearing Results'!$A$1:$J$65</definedName>
    <definedName name="_xlnm.Print_Area" localSheetId="1">'Summary'!$A$1:$J$74</definedName>
    <definedName name="_xlnm.Print_Area" localSheetId="0">'UCAP Oblig-ZCP'!$A$1:$I$25</definedName>
  </definedNames>
  <calcPr fullCalcOnLoad="1"/>
</workbook>
</file>

<file path=xl/sharedStrings.xml><?xml version="1.0" encoding="utf-8"?>
<sst xmlns="http://schemas.openxmlformats.org/spreadsheetml/2006/main" count="1317" uniqueCount="305">
  <si>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</si>
  <si>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</si>
  <si>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</si>
  <si>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</si>
  <si>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</si>
  <si>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</si>
  <si>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</si>
  <si>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</si>
  <si>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</si>
  <si>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</si>
  <si>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</si>
  <si>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</si>
  <si>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</si>
  <si>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</si>
  <si>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</si>
  <si>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</si>
  <si>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</si>
  <si>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</si>
  <si>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</si>
  <si>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</si>
  <si>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</si>
  <si>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</si>
  <si>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</si>
  <si>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</si>
  <si>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</si>
  <si>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</si>
  <si>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</si>
  <si>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</si>
  <si>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</si>
  <si>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* Locational Price Adder is with respect to the immediate higher level LDA.</t>
  </si>
  <si>
    <t>MAAC</t>
  </si>
  <si>
    <t>Short-Term Resource Procurement Target [MW]</t>
  </si>
  <si>
    <t>AEP</t>
  </si>
  <si>
    <t>DOM</t>
  </si>
  <si>
    <t>Preliminary Zonal Capacity Price [$/MW-day]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</si>
  <si>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</si>
  <si>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</si>
  <si>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</si>
  <si>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</si>
  <si>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</si>
  <si>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</si>
  <si>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</si>
  <si>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</si>
  <si>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</si>
  <si>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</si>
  <si>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</si>
  <si>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</si>
  <si>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</si>
  <si>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</si>
  <si>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</si>
  <si>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</si>
  <si>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</si>
  <si>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</si>
  <si>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</si>
  <si>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</si>
  <si>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</si>
  <si>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</si>
  <si>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</si>
  <si>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** Obligation affected by FRR quantities</t>
  </si>
  <si>
    <t>Base Zonal CTR Credit Rate [$/MW UCAP Obligation per 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</si>
  <si>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</si>
  <si>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</si>
  <si>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</si>
  <si>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</si>
  <si>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</si>
  <si>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</si>
  <si>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DEOK</t>
  </si>
  <si>
    <t>Total Resource Credits [$/day]</t>
  </si>
  <si>
    <t>Resource Credits</t>
  </si>
  <si>
    <t>LDA Capacity Price Components</t>
  </si>
  <si>
    <t>Resource Clearing Prices</t>
  </si>
  <si>
    <t>Cleared &amp; Make-Whole MWs</t>
  </si>
  <si>
    <t>Sub-Zone/Zone</t>
  </si>
  <si>
    <t>LDA Base UCAP Obligation [MW]</t>
  </si>
  <si>
    <t>System Marginal Price [$/MW-day]</t>
  </si>
  <si>
    <t>Make-whole Credits for Annual Resources [$/day]</t>
  </si>
  <si>
    <t>Make-whole Credits for Extended Summer Resources [$/day]</t>
  </si>
  <si>
    <t>Make-whole Credits for Limited Resources [$/day]</t>
  </si>
  <si>
    <t>Zone/Responsible Customer</t>
  </si>
  <si>
    <t>Total ICTRs [MW]</t>
  </si>
  <si>
    <t>Allocation of Req Transmission Enhancement ICTRs to Zone/Responsible Customer</t>
  </si>
  <si>
    <t>Incremental Capacity Transfer Rights (ICTRs)</t>
  </si>
  <si>
    <t>ICTR Credits</t>
  </si>
  <si>
    <t>QTU Credits</t>
  </si>
  <si>
    <t>Sink LDA</t>
  </si>
  <si>
    <t>Qualifying Transmission Upgrade (QTU) -Import Capability Cleared into Sink LDA  [MW]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</si>
  <si>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</si>
  <si>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</si>
  <si>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</si>
  <si>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</si>
  <si>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</si>
  <si>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</si>
  <si>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</si>
  <si>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</si>
  <si>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A Weighted Locational Price Adder is used in the case of PS or DPL Equivalent.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</si>
  <si>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</si>
  <si>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</si>
  <si>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</si>
  <si>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</si>
  <si>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</si>
  <si>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</si>
  <si>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</si>
  <si>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</si>
  <si>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</si>
  <si>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Calculation of Zonal Capacity Prices for PS and DPL</t>
  </si>
  <si>
    <t>Cleared Capacity    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</si>
  <si>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</si>
  <si>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</si>
  <si>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</si>
  <si>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</si>
  <si>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Make-Whole Credits</t>
  </si>
  <si>
    <t>Total Make-Whole Credits [$/day]</t>
  </si>
  <si>
    <t>Extended Summer Resources Make-whole [MW]</t>
  </si>
  <si>
    <t>Annual Resources Make-whole [MW]</t>
  </si>
  <si>
    <t>Total Make-whole [MW]</t>
  </si>
  <si>
    <t>Extended Summer Resource Make-whole [MW]</t>
  </si>
  <si>
    <t>Annual Resource Make-whole [MW]</t>
  </si>
  <si>
    <t>Additional Make-whole Adjustments due to NEPA [$/day)</t>
  </si>
  <si>
    <t>Preliminary CTRs Allocated = Max of the LDA CTRs Allocated to LSEs [MW]</t>
  </si>
  <si>
    <t>Preliminary Zonal CTR Settlement Rate [$/MW CTR per day]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</si>
  <si>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</si>
  <si>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</si>
  <si>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</si>
  <si>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</si>
  <si>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</si>
  <si>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Component due to Extended Summer Price Adder [$/MW-day]</t>
  </si>
  <si>
    <t>LDA Capacity Price [$/MW-day]</t>
  </si>
  <si>
    <t>*Locational Price Adder with respect to RTO</t>
  </si>
  <si>
    <t>Resource Credits for Limited Resources [$/day]</t>
  </si>
  <si>
    <t>Additional Component due to Extended Resource Price Adder with respect to EMAAC [$/MW-day]</t>
  </si>
  <si>
    <t>Additional Component due to Annual Resource Price Adder with respect to EMAAC [$/MW-day]</t>
  </si>
  <si>
    <t>LDA Capacity Price in EMAAC [MW]</t>
  </si>
  <si>
    <t>Resource Credits for Extended Summer Resources [$/day]</t>
  </si>
  <si>
    <t>Resource Credits for Annual Resources [$/day]</t>
  </si>
  <si>
    <t>Additional Costs due to Extended Resource Price Adder with respect to EMAAC [$/day]</t>
  </si>
  <si>
    <t>Additional Costs due to Annual Resource Price Adder with respect to EMAAC [$/day]</t>
  </si>
  <si>
    <t>Component due to Make-Whole [$/MW-day]</t>
  </si>
  <si>
    <t>Limited Resources Cleared [MW]</t>
  </si>
  <si>
    <t>Limited Resources Make-whole [MW]</t>
  </si>
  <si>
    <t>Limited Resource Make-whole [MW]</t>
  </si>
  <si>
    <t>Costs due to Extended Summer Resource Price Adder in constrained LDA [$/day]</t>
  </si>
  <si>
    <t>Costs due to Annual Resource Price Adder in constrained LDA [$/day]</t>
  </si>
  <si>
    <t>QTU Clearing Price **      [$/MW-Day]</t>
  </si>
  <si>
    <t>** Locational Price Adder with respect to the immediate higher level LDA.</t>
  </si>
  <si>
    <t>2015/2016 DY BRA Resource Clearing Results</t>
  </si>
  <si>
    <t>2011 W/N Coincident Peak Load [MW]</t>
  </si>
  <si>
    <t>2015/2016 DY BRA CTRs</t>
  </si>
  <si>
    <t>2015/2016 DY BRA Load Pricing Results</t>
  </si>
  <si>
    <t>2015/2016 Prelim. Zonal Peak Load Forecast [MW]</t>
  </si>
  <si>
    <t>Total CTRs * [MW]</t>
  </si>
  <si>
    <t>* CTRs are reduced to allow for certain grandfathered congestion credits.</t>
  </si>
  <si>
    <t xml:space="preserve">2015/2016 DY BRA ICTRs </t>
  </si>
  <si>
    <t>b0457: Dooms-Lexington circuit wave traps (effective 2012/2013)</t>
  </si>
  <si>
    <t>b0559: Capacitor at Meadow Brook substation (effective 2012/2013</t>
  </si>
  <si>
    <t>b0497: Install Second Conastone-Graceton 230 kV circuit; Replace Conastone 230 kV breaker 2323/2302 (effective 2014/2015)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</si>
  <si>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</si>
  <si>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</si>
  <si>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</si>
  <si>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</si>
  <si>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</si>
  <si>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</si>
  <si>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</si>
  <si>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Regional Facilities and Necessary Lower Voltage Facilities</t>
  </si>
  <si>
    <t>Lower Voltage Faclities</t>
  </si>
  <si>
    <t>ICTRs [MW] for Regional Facilities and Necessary Lower Voltage Facilities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</si>
  <si>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</si>
  <si>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</si>
  <si>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</si>
  <si>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</si>
  <si>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</si>
  <si>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</si>
  <si>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</si>
  <si>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</si>
  <si>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</si>
  <si>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</si>
  <si>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</si>
  <si>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</si>
  <si>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</si>
  <si>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Locational Price Adder* Applicable to LDA [$/MW-day]</t>
  </si>
  <si>
    <t>Component due to Annual Resource Price Adder [$/MW-day]</t>
  </si>
  <si>
    <t>Additional Locational Price Adder with respect to EMAAC [$/MW-day]</t>
  </si>
  <si>
    <t>Additional Make-whole Costs with respect to  EMAAC [$/day]</t>
  </si>
  <si>
    <t>Additional Component due to Make-whole with respect to EMAAC [$/MW-day]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</si>
  <si>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</si>
  <si>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</si>
  <si>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</si>
  <si>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 xml:space="preserve">Note:  Cost Allocation Percentages are based on 2012 cost responsibility assignments from the tariff.  The allocation is updated annually. </t>
  </si>
  <si>
    <t>PJMDOCS-#699338v2</t>
  </si>
  <si>
    <t>Remaining CTRs for LSEs [MW]</t>
  </si>
  <si>
    <t>Extended Summer Resource Clearing Price [$/MW-day]</t>
  </si>
  <si>
    <t>Annual Resource Price Adder  [$/MW-day]</t>
  </si>
  <si>
    <t>Locational Price Adder *
  [$/MW-day]</t>
  </si>
  <si>
    <t>Extended Summer Resource Price Adder
 [$/MW-day]</t>
  </si>
  <si>
    <t>Base Residual Auction</t>
  </si>
  <si>
    <t>Zonal UCAP Obligations, Zonal Capacity Prices, &amp; Zonal CTR Credit Rates</t>
  </si>
  <si>
    <t>Base Zonal CTR Credit Rate ($/MW-UCAP Obligation-day)</t>
  </si>
  <si>
    <t>** Obligation affected by FRR quantities.</t>
  </si>
  <si>
    <t>b1304.1, b1304.2, b1304.3, b1304.4: Various upgrades in PS (effective 2015/2016)</t>
  </si>
  <si>
    <t>Locational Price Adder *       [$/MW-day]</t>
  </si>
  <si>
    <t>Extended Summer Resource Price Adder         [$/MW-day]</t>
  </si>
  <si>
    <t>Extended Summer Resource Clearing Price              [$/MW-day]</t>
  </si>
  <si>
    <t>Annual Resource Price Adder          [$/MW-day]</t>
  </si>
  <si>
    <t>Participant Buy Bids/Sell Offers Cleared &amp; Make-Whole MWs</t>
  </si>
  <si>
    <t>Participant Buy Bids Cleared [MW]</t>
  </si>
  <si>
    <t>Participant Sell Offers Cleared [MW]</t>
  </si>
  <si>
    <t>Net Participant Buy Bid/Sell Offers Cleared [MW]</t>
  </si>
  <si>
    <t>Make-whole [MW]</t>
  </si>
  <si>
    <t>Limited Resources</t>
  </si>
  <si>
    <t>Extended Summer Resources</t>
  </si>
  <si>
    <t>Annual Resources</t>
  </si>
  <si>
    <t>Total Resources</t>
  </si>
  <si>
    <t>Total Make-whole</t>
  </si>
  <si>
    <t>PJM Buy Bids/Sell Offers Cleared</t>
  </si>
  <si>
    <t>PJM Buy Bids Cleared [MW]</t>
  </si>
  <si>
    <t>PJM Sell Offers Cleared [MW]</t>
  </si>
  <si>
    <t>Net PJM Buy Bid/Sell Offers Cleared [MW]</t>
  </si>
  <si>
    <t>Auction Credits/Charges</t>
  </si>
  <si>
    <t>Auction Charge for Participant Buy Bids [$/MW-Day]</t>
  </si>
  <si>
    <t>Auction Credit for Participant Sell Offer [$/MW-Day]</t>
  </si>
  <si>
    <t>Net Auction Charge/Credit for Participant Buy Bid/Sell Offer [$/MW-Day]</t>
  </si>
  <si>
    <t>Make-whole Credits [$/Day]</t>
  </si>
  <si>
    <t>Make-whole Costs assessed to LSEs through Zonal Capacity Price [$/day]</t>
  </si>
  <si>
    <t>Make-whole Costs to Participant Buy Bids [$/day]</t>
  </si>
  <si>
    <t>2015/2016 DY 1st IA Resource Clearing Results</t>
  </si>
  <si>
    <t>0.8* BRA STRPT</t>
  </si>
  <si>
    <t>Updated LDA UCAP Obligation [MW]</t>
  </si>
  <si>
    <t>Weighted System Marginal Price [$/MW-day]</t>
  </si>
  <si>
    <t>Weighted Locational Price Adder* Applicable to LDA             [$/MW-day]</t>
  </si>
  <si>
    <t>Costs due to Extended Summer Resource Price Adder in Rest of constrained LDA** [$/day]</t>
  </si>
  <si>
    <t>Costs due to Annual Resource Price Adder in Rest of constrained LDA** [$/day]</t>
  </si>
  <si>
    <t>Component due to Annual Resource Price Adder         [$/MW-day]</t>
  </si>
  <si>
    <t>Cumulative (BRA &amp; IA) Make Whole Costs                      ($/day)</t>
  </si>
  <si>
    <t>Component due to Make-Whole    [$/MW-day]</t>
  </si>
  <si>
    <t>Adjusted LDA Capacity Price [$/MW-day]</t>
  </si>
  <si>
    <t>**Costs associated with Extended Summer and Annual Price Adders, if any, are adjusted slightly to accommodate certain grandfathered arrangements.</t>
  </si>
  <si>
    <t>BRA &amp; 1st IA Net Participant Buy Bid/Sell Offers Cleared</t>
  </si>
  <si>
    <t>Additional Weighted Locational Price Adder with respect to EMAAC  [$/MW-day]</t>
  </si>
  <si>
    <t>Costs due to Extended Summer Resource Price Adder in constrained LDA** [$/day]</t>
  </si>
  <si>
    <t>Component due to Extended Summer Price Adder         [$/MW-day]</t>
  </si>
  <si>
    <t>Costs due to Annual Resource Price Adder in constrained LDA** [$/day]</t>
  </si>
  <si>
    <t>Component due to Annual Resource Price Adder          [$/MW-day]</t>
  </si>
  <si>
    <t>Additional Cumulative (BRA &amp; IA) Make-whole Costs with respect to  EMAAC              [$/day]</t>
  </si>
  <si>
    <t>Additional Component due to Make-whole with respect to EMAAC       [$/MW-day]</t>
  </si>
  <si>
    <t>Adjusted Zonal Capacity Price [$/MW-day]</t>
  </si>
  <si>
    <t>Updated Zonal Results</t>
  </si>
  <si>
    <t>1st IAShort-Term Resource Procurement Target           [MW]</t>
  </si>
  <si>
    <t>Updated Zonal RPM Scaling Factor</t>
  </si>
  <si>
    <t>Updated Zonal UCAP Obligation    [MW]</t>
  </si>
  <si>
    <t>Adjusted Zonal Capacity Price           [$/MW-day]</t>
  </si>
  <si>
    <t>AEP #</t>
  </si>
  <si>
    <t>DEOK #</t>
  </si>
  <si>
    <t># Obligation affected by FRR quantities</t>
  </si>
  <si>
    <t xml:space="preserve">The load charges for Updated Zonal UCAP Obligations at the Adjusted Zonal Capacity Prices exceed the sum of Resource Credits, Make-Whole Payments, QTU Credits and CTR/ICTR Credits as the Zonal UCAP Obligations include uncleared Short-Term Resource Procurement Target with no Resource Credits.  </t>
  </si>
  <si>
    <t>Net Participant Buy Bid/Sell Offers Cleared</t>
  </si>
  <si>
    <t>1st IA Short-Term Resource Procurement Target          [MW]</t>
  </si>
  <si>
    <t>Total Updated CTRs [MW] *</t>
  </si>
  <si>
    <t>Remaining CTRs for Required Transmission Enhancements, Customer-Funded Upgrades, &amp; LSEs [MW]</t>
  </si>
  <si>
    <t xml:space="preserve"> Required Transmission Enhancements ICTRs           [MW]</t>
  </si>
  <si>
    <t>Remaining CTRs for LSEs        [MW]</t>
  </si>
  <si>
    <t>* CTR MWs are adjusted slightly to accommodate certain grandfathered arrangements.</t>
  </si>
  <si>
    <t>Weighted Locational Price Adder</t>
  </si>
  <si>
    <t>Updated CTRs Allocated = Max of the LDA CTRs Allocated to LSEs [MW]</t>
  </si>
  <si>
    <t>Total Updated Economic Value of LSE CTRs [$/day]</t>
  </si>
  <si>
    <t>Updated Zonal CTR Credit Rate [$/MW UCAP Obligation per Day]</t>
  </si>
  <si>
    <t>Updated Zonal CTR Settlement Rate [$/MW CTR per day]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</si>
  <si>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</si>
  <si>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</si>
  <si>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2015/2016 DY 1st Incremental Auction Load Pricing Results</t>
  </si>
  <si>
    <t>2015/2016 DY 1st Incremental Auction CTRs</t>
  </si>
  <si>
    <t xml:space="preserve">2015/2016 DY 1st IA ICTRs </t>
  </si>
  <si>
    <t>2012 W/N Coincident Peak Load              [MW]</t>
  </si>
  <si>
    <t>1st IA 2015/2016 Zonal Peak Load Forecast        [MW]</t>
  </si>
  <si>
    <t xml:space="preserve">Note:  Cost Allocation Percentages are based on 2013 cost responsibility assignments from the tariff.  The cost allocation percentages may change during actual Delivery Year. </t>
  </si>
  <si>
    <t>Adjusted ICTR ** [MW]</t>
  </si>
  <si>
    <t>Certified ICTR [MW]</t>
  </si>
  <si>
    <t>** Certified ICTRs are adjusted to 0 MWs since there is a negative weighted average locational price adder in PS and PSNORTH.</t>
  </si>
  <si>
    <t>1st Incremental Auction</t>
  </si>
  <si>
    <t>Resource Clearing Prices [$/MW-day]</t>
  </si>
  <si>
    <t>Limited Resource</t>
  </si>
  <si>
    <t>Extended Summer Resource</t>
  </si>
  <si>
    <t>Annual Resource</t>
  </si>
  <si>
    <t>Participant Buy Bids/Sell Offers Cleared</t>
  </si>
  <si>
    <t>Net Participant Buy Bids/Sell Offers Cleared* [MW]</t>
  </si>
  <si>
    <t xml:space="preserve">Total Resources </t>
  </si>
  <si>
    <t xml:space="preserve"> Defined PJM Buy Bids/Sell Offers only apply in Incremental Auctions.  Variable Resource Requirement Curve (VRR) used in the clearing of the Base Residual Auction. </t>
  </si>
  <si>
    <t>Net PJM Buy Bids/Sell Offers Cleared**</t>
  </si>
  <si>
    <t>Base Zonal UCAP Obligation (MW)</t>
  </si>
  <si>
    <t>Preliminary Zonal Capacity Price ($/MW-day)</t>
  </si>
  <si>
    <t>Preliminary Zonal Net Load Price ($/MW-day)</t>
  </si>
  <si>
    <t>Adjusted Zonal UCAP Obligation</t>
  </si>
  <si>
    <t>Adjusted Zonal Capacity Price ($/MW-day)</t>
  </si>
  <si>
    <t>Adjusted Zonal CTR Credit Rate ($/MW-UCAP Obligation-day)</t>
  </si>
  <si>
    <t>Adjusted Zonal Net Load Price ($/MW-day)</t>
  </si>
  <si>
    <t>Base Zonal UCAP Obligation</t>
  </si>
  <si>
    <t>2015/2016 DY BRA and 1st IA: Zonal UCAP Obligations, Zonal Capacity Prices, &amp; Zonal CTR Credit Rates</t>
  </si>
  <si>
    <t>1st Incremental Auction Adjusted Zonal Capacity Prices &amp; Adjusted Zonal CTR Credit Rates are determined based on the results of the Base Residual Auction and 1st Incremental Auctions for the DY.</t>
  </si>
  <si>
    <t>*A positive net particpant buy bid/sell offer cleared represents a net purchase of capacity by participants.</t>
  </si>
  <si>
    <t>**A positive net PJM buy bid/sell offer cleared represents a net purchase of capacity by PJM.</t>
  </si>
  <si>
    <t>** A negative net PJM buy bid/sell offer cleared represents a net release of committed capacity by PJM.</t>
  </si>
  <si>
    <t>* A negative net participant buy bid/sell offer cleared represents a net sale of capacity by participants.</t>
  </si>
  <si>
    <t>2015/2016 1st IA: Summary of Auction Results</t>
  </si>
  <si>
    <t>Preliminary Zonal Capacity Price    ($/MW-day)</t>
  </si>
  <si>
    <t>Base Zonal CTR Credit Rate     ($/MW-UCAP Obligation-day)</t>
  </si>
  <si>
    <t>Adjusted Zonal Capacity Price    ($/MW-day)</t>
  </si>
  <si>
    <t>PJMDOCS-#764626-v1A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</si>
</sst>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00_);_(* \(#,##0.000000000\);_(* &quot;-&quot;??_);_(@_)"/>
    <numFmt numFmtId="210" formatCode="_(* #,##0.000000_);_(* \(#,##0.000000\);_(* &quot;-&quot;??_);_(@_)"/>
    <numFmt numFmtId="211" formatCode="0.000000000"/>
    <numFmt numFmtId="212" formatCode="_(* #,##0.0000000_);_(* \(#,##0.0000000\);_(* &quot;-&quot;??_);_(@_)"/>
    <numFmt numFmtId="213" formatCode="_(* #,##0.00000000_);_(* \(#,##0.00000000\);_(* &quot;-&quot;??_);_(@_)"/>
    <numFmt numFmtId="214" formatCode="&quot;$&quot;#,##0.00000000000"/>
    <numFmt numFmtId="215" formatCode="_(* #,##0.0000000000_);_(* \(#,##0.0000000000\);_(* &quot;-&quot;??_);_(@_)"/>
    <numFmt numFmtId="216" formatCode="_(* #,##0.00000000000_);_(* \(#,##0.00000000000\);_(* &quot;-&quot;??_);_(@_)"/>
    <numFmt numFmtId="217" formatCode="_(* #,##0.000000000000_);_(* \(#,##0.000000000000\);_(* &quot;-&quot;??_);_(@_)"/>
    <numFmt numFmtId="218" formatCode="_(* #,##0.0000000000000_);_(* \(#,##0.0000000000000\);_(* &quot;-&quot;?????????????_);_(@_)"/>
  </numFmts>
  <fonts count="55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6"/>
      <name val="Calibri"/>
      <family val="2"/>
    </font>
    <font>
      <b/>
      <i/>
      <sz val="14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1F497D"/>
      <name val="Calibri"/>
      <family val="2"/>
    </font>
    <font>
      <b/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174" fontId="0" fillId="0" borderId="0" xfId="0" applyNumberFormat="1" applyFont="1" applyBorder="1" applyAlignment="1">
      <alignment horizontal="right"/>
    </xf>
    <xf numFmtId="0" fontId="51" fillId="0" borderId="0" xfId="0" applyFont="1" applyAlignment="1">
      <alignment/>
    </xf>
    <xf numFmtId="192" fontId="0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6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74" fontId="0" fillId="0" borderId="0" xfId="0" applyNumberFormat="1" applyFont="1" applyAlignment="1">
      <alignment/>
    </xf>
    <xf numFmtId="44" fontId="7" fillId="0" borderId="0" xfId="44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2" fontId="51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44" applyNumberFormat="1" applyFont="1" applyBorder="1" applyAlignment="1">
      <alignment horizontal="center"/>
    </xf>
    <xf numFmtId="164" fontId="5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92" fontId="0" fillId="0" borderId="10" xfId="42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0" fontId="0" fillId="0" borderId="10" xfId="59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7" fillId="0" borderId="0" xfId="0" applyNumberFormat="1" applyFont="1" applyBorder="1" applyAlignment="1">
      <alignment horizontal="right"/>
    </xf>
    <xf numFmtId="174" fontId="0" fillId="0" borderId="13" xfId="0" applyNumberFormat="1" applyFont="1" applyBorder="1" applyAlignment="1">
      <alignment/>
    </xf>
    <xf numFmtId="0" fontId="52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 wrapText="1"/>
    </xf>
    <xf numFmtId="17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4" fontId="0" fillId="0" borderId="0" xfId="44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0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/>
    </xf>
    <xf numFmtId="192" fontId="0" fillId="0" borderId="10" xfId="42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 wrapText="1"/>
    </xf>
    <xf numFmtId="165" fontId="0" fillId="0" borderId="10" xfId="42" applyNumberFormat="1" applyFont="1" applyBorder="1" applyAlignment="1">
      <alignment horizontal="right"/>
    </xf>
    <xf numFmtId="0" fontId="12" fillId="6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74" fontId="0" fillId="0" borderId="13" xfId="0" applyNumberFormat="1" applyFont="1" applyFill="1" applyBorder="1" applyAlignment="1">
      <alignment/>
    </xf>
    <xf numFmtId="170" fontId="0" fillId="0" borderId="13" xfId="0" applyNumberFormat="1" applyFont="1" applyBorder="1" applyAlignment="1">
      <alignment/>
    </xf>
    <xf numFmtId="0" fontId="12" fillId="5" borderId="1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166" fontId="0" fillId="0" borderId="18" xfId="59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19" xfId="59" applyNumberFormat="1" applyFont="1" applyFill="1" applyBorder="1" applyAlignment="1">
      <alignment horizontal="right"/>
    </xf>
    <xf numFmtId="173" fontId="0" fillId="0" borderId="19" xfId="59" applyNumberFormat="1" applyFont="1" applyFill="1" applyBorder="1" applyAlignment="1">
      <alignment horizontal="right"/>
    </xf>
    <xf numFmtId="192" fontId="0" fillId="0" borderId="19" xfId="42" applyNumberFormat="1" applyFont="1" applyFill="1" applyBorder="1" applyAlignment="1">
      <alignment horizontal="right"/>
    </xf>
    <xf numFmtId="166" fontId="0" fillId="0" borderId="19" xfId="59" applyNumberFormat="1" applyFont="1" applyFill="1" applyBorder="1" applyAlignment="1">
      <alignment horizontal="right"/>
    </xf>
    <xf numFmtId="164" fontId="0" fillId="0" borderId="19" xfId="59" applyNumberFormat="1" applyFont="1" applyFill="1" applyBorder="1" applyAlignment="1">
      <alignment horizontal="right"/>
    </xf>
    <xf numFmtId="170" fontId="0" fillId="0" borderId="20" xfId="59" applyNumberFormat="1" applyFont="1" applyBorder="1" applyAlignment="1">
      <alignment horizontal="right"/>
    </xf>
    <xf numFmtId="0" fontId="12" fillId="7" borderId="17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7" fillId="0" borderId="18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174" fontId="0" fillId="0" borderId="13" xfId="0" applyNumberFormat="1" applyFont="1" applyFill="1" applyBorder="1" applyAlignment="1">
      <alignment horizontal="right"/>
    </xf>
    <xf numFmtId="0" fontId="12" fillId="5" borderId="21" xfId="0" applyFont="1" applyFill="1" applyBorder="1" applyAlignment="1">
      <alignment/>
    </xf>
    <xf numFmtId="165" fontId="0" fillId="0" borderId="19" xfId="0" applyNumberFormat="1" applyFont="1" applyBorder="1" applyAlignment="1">
      <alignment/>
    </xf>
    <xf numFmtId="174" fontId="0" fillId="0" borderId="13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/>
    </xf>
    <xf numFmtId="0" fontId="12" fillId="4" borderId="2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13" fillId="6" borderId="17" xfId="0" applyFont="1" applyFill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2" fillId="3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4" fontId="0" fillId="0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2" fontId="0" fillId="0" borderId="10" xfId="42" applyNumberFormat="1" applyFont="1" applyBorder="1" applyAlignment="1">
      <alignment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44" fontId="7" fillId="0" borderId="24" xfId="44" applyFont="1" applyBorder="1" applyAlignment="1">
      <alignment horizontal="center" wrapText="1"/>
    </xf>
    <xf numFmtId="44" fontId="7" fillId="0" borderId="24" xfId="44" applyFont="1" applyFill="1" applyBorder="1" applyAlignment="1">
      <alignment horizontal="center" wrapText="1"/>
    </xf>
    <xf numFmtId="44" fontId="7" fillId="0" borderId="25" xfId="44" applyFont="1" applyBorder="1" applyAlignment="1">
      <alignment horizontal="center" wrapText="1"/>
    </xf>
    <xf numFmtId="165" fontId="0" fillId="7" borderId="10" xfId="0" applyNumberFormat="1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horizontal="center" wrapText="1"/>
    </xf>
    <xf numFmtId="165" fontId="0" fillId="7" borderId="19" xfId="0" applyNumberFormat="1" applyFont="1" applyFill="1" applyBorder="1" applyAlignment="1">
      <alignment horizontal="right"/>
    </xf>
    <xf numFmtId="0" fontId="7" fillId="5" borderId="18" xfId="0" applyNumberFormat="1" applyFont="1" applyFill="1" applyBorder="1" applyAlignment="1">
      <alignment horizontal="center" wrapText="1"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192" fontId="0" fillId="0" borderId="1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92" fontId="0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165" fontId="0" fillId="5" borderId="19" xfId="0" applyNumberFormat="1" applyFont="1" applyFill="1" applyBorder="1" applyAlignment="1">
      <alignment horizontal="right"/>
    </xf>
    <xf numFmtId="165" fontId="0" fillId="5" borderId="20" xfId="0" applyNumberFormat="1" applyFont="1" applyFill="1" applyBorder="1" applyAlignment="1">
      <alignment horizontal="right"/>
    </xf>
    <xf numFmtId="165" fontId="7" fillId="4" borderId="19" xfId="44" applyNumberFormat="1" applyFont="1" applyFill="1" applyBorder="1" applyAlignment="1">
      <alignment/>
    </xf>
    <xf numFmtId="165" fontId="7" fillId="4" borderId="20" xfId="44" applyNumberFormat="1" applyFont="1" applyFill="1" applyBorder="1" applyAlignment="1">
      <alignment/>
    </xf>
    <xf numFmtId="165" fontId="0" fillId="6" borderId="10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 horizontal="right"/>
    </xf>
    <xf numFmtId="165" fontId="0" fillId="4" borderId="10" xfId="42" applyNumberFormat="1" applyFont="1" applyFill="1" applyBorder="1" applyAlignment="1">
      <alignment horizontal="right"/>
    </xf>
    <xf numFmtId="165" fontId="0" fillId="4" borderId="13" xfId="0" applyNumberFormat="1" applyFont="1" applyFill="1" applyBorder="1" applyAlignment="1">
      <alignment/>
    </xf>
    <xf numFmtId="165" fontId="0" fillId="4" borderId="13" xfId="44" applyNumberFormat="1" applyFont="1" applyFill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165" fontId="0" fillId="4" borderId="13" xfId="42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wrapText="1" indent="1"/>
    </xf>
    <xf numFmtId="0" fontId="7" fillId="0" borderId="27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7" fillId="0" borderId="27" xfId="0" applyFont="1" applyFill="1" applyBorder="1" applyAlignment="1">
      <alignment horizontal="center" wrapText="1"/>
    </xf>
    <xf numFmtId="192" fontId="0" fillId="0" borderId="16" xfId="42" applyNumberFormat="1" applyFont="1" applyBorder="1" applyAlignment="1">
      <alignment horizontal="right"/>
    </xf>
    <xf numFmtId="192" fontId="0" fillId="0" borderId="16" xfId="42" applyNumberFormat="1" applyFont="1" applyFill="1" applyBorder="1" applyAlignment="1">
      <alignment horizontal="right"/>
    </xf>
    <xf numFmtId="192" fontId="0" fillId="0" borderId="10" xfId="42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165" fontId="0" fillId="0" borderId="30" xfId="0" applyNumberFormat="1" applyFont="1" applyBorder="1" applyAlignment="1">
      <alignment horizontal="right"/>
    </xf>
    <xf numFmtId="165" fontId="0" fillId="0" borderId="30" xfId="0" applyNumberFormat="1" applyFont="1" applyFill="1" applyBorder="1" applyAlignment="1">
      <alignment horizontal="right"/>
    </xf>
    <xf numFmtId="165" fontId="0" fillId="7" borderId="30" xfId="0" applyNumberFormat="1" applyFont="1" applyFill="1" applyBorder="1" applyAlignment="1">
      <alignment horizontal="right"/>
    </xf>
    <xf numFmtId="165" fontId="0" fillId="7" borderId="31" xfId="0" applyNumberFormat="1" applyFont="1" applyFill="1" applyBorder="1" applyAlignment="1">
      <alignment horizontal="right"/>
    </xf>
    <xf numFmtId="192" fontId="0" fillId="0" borderId="30" xfId="42" applyNumberFormat="1" applyFont="1" applyFill="1" applyBorder="1" applyAlignment="1">
      <alignment horizontal="right"/>
    </xf>
    <xf numFmtId="192" fontId="0" fillId="0" borderId="30" xfId="42" applyNumberFormat="1" applyFont="1" applyBorder="1" applyAlignment="1">
      <alignment/>
    </xf>
    <xf numFmtId="174" fontId="0" fillId="0" borderId="3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164" fontId="52" fillId="0" borderId="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 indent="1"/>
    </xf>
    <xf numFmtId="0" fontId="7" fillId="7" borderId="27" xfId="0" applyFont="1" applyFill="1" applyBorder="1" applyAlignment="1">
      <alignment horizontal="right" vertical="center" wrapText="1"/>
    </xf>
    <xf numFmtId="0" fontId="7" fillId="7" borderId="27" xfId="0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28" xfId="0" applyNumberFormat="1" applyFont="1" applyFill="1" applyBorder="1" applyAlignment="1">
      <alignment horizontal="right" vertical="center"/>
    </xf>
    <xf numFmtId="164" fontId="7" fillId="7" borderId="11" xfId="0" applyNumberFormat="1" applyFont="1" applyFill="1" applyBorder="1" applyAlignment="1">
      <alignment horizontal="right" vertical="center"/>
    </xf>
    <xf numFmtId="164" fontId="7" fillId="7" borderId="28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7" fillId="7" borderId="32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right"/>
    </xf>
    <xf numFmtId="164" fontId="7" fillId="7" borderId="22" xfId="0" applyNumberFormat="1" applyFont="1" applyFill="1" applyBorder="1" applyAlignment="1">
      <alignment horizontal="right" vertical="center"/>
    </xf>
    <xf numFmtId="164" fontId="7" fillId="7" borderId="34" xfId="0" applyNumberFormat="1" applyFont="1" applyFill="1" applyBorder="1" applyAlignment="1">
      <alignment horizontal="right" vertical="center"/>
    </xf>
    <xf numFmtId="0" fontId="7" fillId="7" borderId="35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94" fontId="0" fillId="6" borderId="1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0" fontId="12" fillId="6" borderId="21" xfId="0" applyFont="1" applyFill="1" applyBorder="1" applyAlignment="1">
      <alignment/>
    </xf>
    <xf numFmtId="165" fontId="7" fillId="6" borderId="19" xfId="0" applyNumberFormat="1" applyFont="1" applyFill="1" applyBorder="1" applyAlignment="1">
      <alignment horizontal="right"/>
    </xf>
    <xf numFmtId="165" fontId="0" fillId="6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7" fillId="6" borderId="20" xfId="0" applyNumberFormat="1" applyFont="1" applyFill="1" applyBorder="1" applyAlignment="1">
      <alignment horizontal="right"/>
    </xf>
    <xf numFmtId="0" fontId="12" fillId="4" borderId="17" xfId="0" applyFont="1" applyFill="1" applyBorder="1" applyAlignment="1">
      <alignment wrapText="1"/>
    </xf>
    <xf numFmtId="192" fontId="0" fillId="0" borderId="13" xfId="42" applyNumberFormat="1" applyFont="1" applyFill="1" applyBorder="1" applyAlignment="1">
      <alignment/>
    </xf>
    <xf numFmtId="0" fontId="7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74" fontId="0" fillId="0" borderId="19" xfId="0" applyNumberFormat="1" applyFont="1" applyBorder="1" applyAlignment="1">
      <alignment horizontal="right"/>
    </xf>
    <xf numFmtId="192" fontId="0" fillId="0" borderId="19" xfId="42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92" fontId="0" fillId="0" borderId="13" xfId="42" applyNumberFormat="1" applyFont="1" applyBorder="1" applyAlignment="1">
      <alignment/>
    </xf>
    <xf numFmtId="192" fontId="0" fillId="0" borderId="20" xfId="42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center" wrapText="1"/>
    </xf>
    <xf numFmtId="165" fontId="1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10" fillId="0" borderId="20" xfId="44" applyNumberFormat="1" applyFont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5" fontId="0" fillId="0" borderId="19" xfId="44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0" fontId="7" fillId="0" borderId="36" xfId="0" applyFont="1" applyFill="1" applyBorder="1" applyAlignment="1">
      <alignment horizontal="center" wrapText="1"/>
    </xf>
    <xf numFmtId="192" fontId="0" fillId="0" borderId="37" xfId="42" applyNumberFormat="1" applyFont="1" applyFill="1" applyBorder="1" applyAlignment="1">
      <alignment horizontal="right"/>
    </xf>
    <xf numFmtId="192" fontId="0" fillId="0" borderId="38" xfId="42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165" fontId="0" fillId="4" borderId="37" xfId="0" applyNumberFormat="1" applyFont="1" applyFill="1" applyBorder="1" applyAlignment="1">
      <alignment/>
    </xf>
    <xf numFmtId="165" fontId="0" fillId="4" borderId="38" xfId="0" applyNumberFormat="1" applyFont="1" applyFill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92" fontId="0" fillId="0" borderId="11" xfId="42" applyNumberFormat="1" applyFont="1" applyFill="1" applyBorder="1" applyAlignment="1">
      <alignment/>
    </xf>
    <xf numFmtId="192" fontId="0" fillId="0" borderId="12" xfId="42" applyNumberFormat="1" applyFont="1" applyFill="1" applyBorder="1" applyAlignment="1">
      <alignment/>
    </xf>
    <xf numFmtId="164" fontId="0" fillId="0" borderId="22" xfId="0" applyNumberFormat="1" applyFont="1" applyBorder="1" applyAlignment="1">
      <alignment horizontal="right"/>
    </xf>
    <xf numFmtId="165" fontId="0" fillId="0" borderId="39" xfId="44" applyNumberFormat="1" applyFont="1" applyBorder="1" applyAlignment="1">
      <alignment horizontal="right"/>
    </xf>
    <xf numFmtId="174" fontId="0" fillId="0" borderId="22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5" fontId="0" fillId="0" borderId="39" xfId="0" applyNumberFormat="1" applyFont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5" fontId="7" fillId="0" borderId="41" xfId="44" applyNumberFormat="1" applyFont="1" applyBorder="1" applyAlignment="1">
      <alignment horizontal="right"/>
    </xf>
    <xf numFmtId="174" fontId="0" fillId="0" borderId="40" xfId="0" applyNumberFormat="1" applyFont="1" applyBorder="1" applyAlignment="1">
      <alignment horizontal="right"/>
    </xf>
    <xf numFmtId="165" fontId="7" fillId="0" borderId="42" xfId="44" applyNumberFormat="1" applyFont="1" applyBorder="1" applyAlignment="1">
      <alignment horizontal="right"/>
    </xf>
    <xf numFmtId="44" fontId="7" fillId="0" borderId="42" xfId="44" applyFont="1" applyBorder="1" applyAlignment="1">
      <alignment horizontal="right"/>
    </xf>
    <xf numFmtId="44" fontId="7" fillId="0" borderId="41" xfId="44" applyFont="1" applyBorder="1" applyAlignment="1">
      <alignment horizontal="right"/>
    </xf>
    <xf numFmtId="0" fontId="7" fillId="0" borderId="43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165" fontId="7" fillId="0" borderId="19" xfId="0" applyNumberFormat="1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0" fontId="0" fillId="0" borderId="45" xfId="0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92" fontId="0" fillId="0" borderId="0" xfId="42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94" fontId="0" fillId="6" borderId="13" xfId="0" applyNumberFormat="1" applyFont="1" applyFill="1" applyBorder="1" applyAlignment="1">
      <alignment horizontal="right"/>
    </xf>
    <xf numFmtId="192" fontId="7" fillId="0" borderId="21" xfId="42" applyNumberFormat="1" applyFont="1" applyFill="1" applyBorder="1" applyAlignment="1">
      <alignment/>
    </xf>
    <xf numFmtId="192" fontId="7" fillId="0" borderId="21" xfId="42" applyNumberFormat="1" applyFont="1" applyFill="1" applyBorder="1" applyAlignment="1">
      <alignment/>
    </xf>
    <xf numFmtId="192" fontId="7" fillId="0" borderId="21" xfId="42" applyNumberFormat="1" applyFont="1" applyBorder="1" applyAlignment="1">
      <alignment horizontal="left" indent="2"/>
    </xf>
    <xf numFmtId="0" fontId="4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7" borderId="42" xfId="0" applyFont="1" applyFill="1" applyBorder="1" applyAlignment="1">
      <alignment horizontal="center" wrapText="1"/>
    </xf>
    <xf numFmtId="0" fontId="7" fillId="7" borderId="41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left"/>
    </xf>
    <xf numFmtId="165" fontId="0" fillId="0" borderId="49" xfId="0" applyNumberFormat="1" applyFont="1" applyBorder="1" applyAlignment="1">
      <alignment horizontal="right"/>
    </xf>
    <xf numFmtId="165" fontId="0" fillId="0" borderId="50" xfId="0" applyNumberFormat="1" applyFont="1" applyBorder="1" applyAlignment="1">
      <alignment horizontal="right"/>
    </xf>
    <xf numFmtId="165" fontId="0" fillId="7" borderId="50" xfId="0" applyNumberFormat="1" applyFont="1" applyFill="1" applyBorder="1" applyAlignment="1">
      <alignment horizontal="right"/>
    </xf>
    <xf numFmtId="165" fontId="0" fillId="7" borderId="51" xfId="0" applyNumberFormat="1" applyFont="1" applyFill="1" applyBorder="1" applyAlignment="1">
      <alignment horizontal="right"/>
    </xf>
    <xf numFmtId="0" fontId="0" fillId="0" borderId="28" xfId="0" applyFont="1" applyBorder="1" applyAlignment="1">
      <alignment horizontal="left"/>
    </xf>
    <xf numFmtId="165" fontId="0" fillId="0" borderId="37" xfId="0" applyNumberFormat="1" applyFont="1" applyBorder="1" applyAlignment="1">
      <alignment horizontal="right"/>
    </xf>
    <xf numFmtId="165" fontId="50" fillId="0" borderId="0" xfId="0" applyNumberFormat="1" applyFont="1" applyBorder="1" applyAlignment="1">
      <alignment horizontal="left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0" fillId="0" borderId="48" xfId="0" applyFont="1" applyBorder="1" applyAlignment="1">
      <alignment/>
    </xf>
    <xf numFmtId="174" fontId="0" fillId="0" borderId="50" xfId="42" applyNumberFormat="1" applyFont="1" applyBorder="1" applyAlignment="1">
      <alignment horizontal="right"/>
    </xf>
    <xf numFmtId="174" fontId="0" fillId="0" borderId="50" xfId="42" applyNumberFormat="1" applyFont="1" applyFill="1" applyBorder="1" applyAlignment="1">
      <alignment horizontal="right"/>
    </xf>
    <xf numFmtId="174" fontId="0" fillId="0" borderId="15" xfId="42" applyNumberFormat="1" applyFont="1" applyFill="1" applyBorder="1" applyAlignment="1">
      <alignment horizontal="right"/>
    </xf>
    <xf numFmtId="174" fontId="0" fillId="0" borderId="16" xfId="42" applyNumberFormat="1" applyFont="1" applyBorder="1" applyAlignment="1">
      <alignment horizontal="right"/>
    </xf>
    <xf numFmtId="174" fontId="0" fillId="0" borderId="16" xfId="42" applyNumberFormat="1" applyFont="1" applyFill="1" applyBorder="1" applyAlignment="1">
      <alignment horizontal="right"/>
    </xf>
    <xf numFmtId="174" fontId="0" fillId="0" borderId="18" xfId="0" applyNumberFormat="1" applyFont="1" applyFill="1" applyBorder="1" applyAlignment="1">
      <alignment horizontal="right"/>
    </xf>
    <xf numFmtId="174" fontId="0" fillId="0" borderId="15" xfId="42" applyNumberFormat="1" applyFont="1" applyBorder="1" applyAlignment="1">
      <alignment horizontal="right"/>
    </xf>
    <xf numFmtId="174" fontId="0" fillId="0" borderId="15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1" xfId="42" applyNumberFormat="1" applyFont="1" applyBorder="1" applyAlignment="1">
      <alignment horizontal="right"/>
    </xf>
    <xf numFmtId="174" fontId="0" fillId="0" borderId="10" xfId="42" applyNumberFormat="1" applyFont="1" applyBorder="1" applyAlignment="1">
      <alignment horizontal="right"/>
    </xf>
    <xf numFmtId="174" fontId="0" fillId="0" borderId="10" xfId="42" applyNumberFormat="1" applyFont="1" applyBorder="1" applyAlignment="1">
      <alignment/>
    </xf>
    <xf numFmtId="174" fontId="0" fillId="0" borderId="19" xfId="0" applyNumberFormat="1" applyFont="1" applyFill="1" applyBorder="1" applyAlignment="1">
      <alignment horizontal="right"/>
    </xf>
    <xf numFmtId="174" fontId="0" fillId="0" borderId="11" xfId="42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0" xfId="42" applyNumberFormat="1" applyFont="1" applyFill="1" applyBorder="1" applyAlignment="1">
      <alignment horizontal="right"/>
    </xf>
    <xf numFmtId="174" fontId="0" fillId="0" borderId="11" xfId="42" applyNumberFormat="1" applyFont="1" applyFill="1" applyBorder="1" applyAlignment="1">
      <alignment horizontal="right"/>
    </xf>
    <xf numFmtId="192" fontId="0" fillId="0" borderId="0" xfId="42" applyNumberFormat="1" applyFont="1" applyFill="1" applyBorder="1" applyAlignment="1">
      <alignment horizontal="right"/>
    </xf>
    <xf numFmtId="192" fontId="0" fillId="0" borderId="0" xfId="42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7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0" fontId="12" fillId="4" borderId="17" xfId="0" applyFont="1" applyFill="1" applyBorder="1" applyAlignment="1">
      <alignment/>
    </xf>
    <xf numFmtId="0" fontId="0" fillId="0" borderId="33" xfId="0" applyFont="1" applyBorder="1" applyAlignment="1">
      <alignment/>
    </xf>
    <xf numFmtId="174" fontId="0" fillId="0" borderId="16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/>
    </xf>
    <xf numFmtId="164" fontId="0" fillId="0" borderId="15" xfId="42" applyNumberFormat="1" applyFont="1" applyBorder="1" applyAlignment="1">
      <alignment horizontal="right"/>
    </xf>
    <xf numFmtId="164" fontId="0" fillId="0" borderId="16" xfId="42" applyNumberFormat="1" applyFont="1" applyBorder="1" applyAlignment="1">
      <alignment horizontal="right"/>
    </xf>
    <xf numFmtId="165" fontId="0" fillId="0" borderId="52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51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164" fontId="0" fillId="0" borderId="11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92" fontId="0" fillId="0" borderId="11" xfId="42" applyNumberFormat="1" applyFont="1" applyBorder="1" applyAlignment="1">
      <alignment horizontal="right"/>
    </xf>
    <xf numFmtId="174" fontId="7" fillId="0" borderId="12" xfId="0" applyNumberFormat="1" applyFont="1" applyBorder="1" applyAlignment="1">
      <alignment horizontal="right"/>
    </xf>
    <xf numFmtId="174" fontId="7" fillId="0" borderId="13" xfId="0" applyNumberFormat="1" applyFont="1" applyBorder="1" applyAlignment="1">
      <alignment horizontal="right"/>
    </xf>
    <xf numFmtId="174" fontId="7" fillId="0" borderId="20" xfId="0" applyNumberFormat="1" applyFont="1" applyBorder="1" applyAlignment="1">
      <alignment/>
    </xf>
    <xf numFmtId="174" fontId="7" fillId="0" borderId="20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0" fontId="7" fillId="0" borderId="36" xfId="0" applyFont="1" applyBorder="1" applyAlignment="1">
      <alignment horizontal="center" wrapText="1"/>
    </xf>
    <xf numFmtId="44" fontId="7" fillId="0" borderId="18" xfId="44" applyFont="1" applyBorder="1" applyAlignment="1">
      <alignment horizontal="center" wrapText="1"/>
    </xf>
    <xf numFmtId="0" fontId="0" fillId="0" borderId="53" xfId="0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0" fontId="0" fillId="0" borderId="54" xfId="0" applyFont="1" applyBorder="1" applyAlignment="1">
      <alignment/>
    </xf>
    <xf numFmtId="165" fontId="7" fillId="0" borderId="12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0" fontId="7" fillId="0" borderId="55" xfId="0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209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201" fontId="0" fillId="0" borderId="0" xfId="42" applyNumberFormat="1" applyFont="1" applyBorder="1" applyAlignment="1">
      <alignment horizontal="right"/>
    </xf>
    <xf numFmtId="174" fontId="50" fillId="0" borderId="0" xfId="0" applyNumberFormat="1" applyFont="1" applyBorder="1" applyAlignment="1">
      <alignment horizontal="right"/>
    </xf>
    <xf numFmtId="0" fontId="0" fillId="0" borderId="56" xfId="0" applyFont="1" applyFill="1" applyBorder="1" applyAlignment="1">
      <alignment horizontal="left"/>
    </xf>
    <xf numFmtId="0" fontId="12" fillId="4" borderId="14" xfId="0" applyFont="1" applyFill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0" fillId="0" borderId="0" xfId="0" applyNumberFormat="1" applyFont="1" applyFill="1" applyBorder="1" applyAlignment="1">
      <alignment horizontal="center" wrapText="1"/>
    </xf>
    <xf numFmtId="0" fontId="7" fillId="0" borderId="23" xfId="0" applyNumberFormat="1" applyFont="1" applyFill="1" applyBorder="1" applyAlignment="1">
      <alignment horizontal="center" wrapText="1"/>
    </xf>
    <xf numFmtId="0" fontId="7" fillId="0" borderId="24" xfId="0" applyNumberFormat="1" applyFont="1" applyFill="1" applyBorder="1" applyAlignment="1">
      <alignment horizontal="center" wrapText="1"/>
    </xf>
    <xf numFmtId="0" fontId="7" fillId="0" borderId="24" xfId="0" applyNumberFormat="1" applyFont="1" applyBorder="1" applyAlignment="1">
      <alignment horizontal="center" wrapText="1"/>
    </xf>
    <xf numFmtId="0" fontId="7" fillId="5" borderId="2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192" fontId="0" fillId="0" borderId="16" xfId="42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192" fontId="0" fillId="0" borderId="16" xfId="42" applyNumberFormat="1" applyFont="1" applyFill="1" applyBorder="1" applyAlignment="1">
      <alignment/>
    </xf>
    <xf numFmtId="170" fontId="0" fillId="0" borderId="16" xfId="0" applyNumberFormat="1" applyFont="1" applyBorder="1" applyAlignment="1">
      <alignment/>
    </xf>
    <xf numFmtId="165" fontId="0" fillId="5" borderId="18" xfId="0" applyNumberFormat="1" applyFont="1" applyFill="1" applyBorder="1" applyAlignment="1">
      <alignment horizontal="right"/>
    </xf>
    <xf numFmtId="192" fontId="0" fillId="0" borderId="10" xfId="42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92" fontId="0" fillId="0" borderId="13" xfId="42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92" fontId="7" fillId="0" borderId="57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192" fontId="7" fillId="0" borderId="57" xfId="42" applyNumberFormat="1" applyFont="1" applyFill="1" applyBorder="1" applyAlignment="1">
      <alignment/>
    </xf>
    <xf numFmtId="192" fontId="7" fillId="0" borderId="57" xfId="42" applyNumberFormat="1" applyFont="1" applyBorder="1" applyAlignment="1">
      <alignment horizontal="left" indent="2"/>
    </xf>
    <xf numFmtId="0" fontId="4" fillId="0" borderId="58" xfId="0" applyFont="1" applyFill="1" applyBorder="1" applyAlignment="1">
      <alignment/>
    </xf>
    <xf numFmtId="192" fontId="7" fillId="0" borderId="0" xfId="42" applyNumberFormat="1" applyFont="1" applyFill="1" applyBorder="1" applyAlignment="1">
      <alignment/>
    </xf>
    <xf numFmtId="192" fontId="7" fillId="0" borderId="0" xfId="42" applyNumberFormat="1" applyFont="1" applyFill="1" applyBorder="1" applyAlignment="1">
      <alignment/>
    </xf>
    <xf numFmtId="192" fontId="7" fillId="0" borderId="0" xfId="42" applyNumberFormat="1" applyFont="1" applyBorder="1" applyAlignment="1">
      <alignment horizontal="left" indent="2"/>
    </xf>
    <xf numFmtId="164" fontId="0" fillId="0" borderId="0" xfId="0" applyNumberFormat="1" applyFont="1" applyBorder="1" applyAlignment="1">
      <alignment horizontal="left" vertical="top" wrapText="1"/>
    </xf>
    <xf numFmtId="197" fontId="0" fillId="0" borderId="0" xfId="0" applyNumberFormat="1" applyFont="1" applyAlignment="1">
      <alignment/>
    </xf>
    <xf numFmtId="192" fontId="50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164" fontId="0" fillId="0" borderId="10" xfId="42" applyNumberFormat="1" applyFont="1" applyBorder="1" applyAlignment="1">
      <alignment/>
    </xf>
    <xf numFmtId="165" fontId="10" fillId="0" borderId="22" xfId="0" applyNumberFormat="1" applyFont="1" applyBorder="1" applyAlignment="1">
      <alignment horizontal="center" wrapText="1"/>
    </xf>
    <xf numFmtId="165" fontId="10" fillId="0" borderId="14" xfId="0" applyNumberFormat="1" applyFont="1" applyBorder="1" applyAlignment="1">
      <alignment horizontal="center" vertical="center"/>
    </xf>
    <xf numFmtId="165" fontId="10" fillId="0" borderId="59" xfId="0" applyNumberFormat="1" applyFon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vertical="center"/>
    </xf>
    <xf numFmtId="165" fontId="0" fillId="0" borderId="39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65" fontId="0" fillId="0" borderId="10" xfId="44" applyNumberFormat="1" applyFont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0" fillId="0" borderId="14" xfId="44" applyNumberFormat="1" applyFont="1" applyBorder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74" fontId="0" fillId="0" borderId="42" xfId="0" applyNumberFormat="1" applyFont="1" applyBorder="1" applyAlignment="1">
      <alignment horizontal="right"/>
    </xf>
    <xf numFmtId="10" fontId="0" fillId="0" borderId="0" xfId="59" applyNumberFormat="1" applyFont="1" applyFill="1" applyBorder="1" applyAlignment="1">
      <alignment horizontal="right"/>
    </xf>
    <xf numFmtId="0" fontId="0" fillId="0" borderId="57" xfId="0" applyFont="1" applyFill="1" applyBorder="1" applyAlignment="1">
      <alignment horizontal="left"/>
    </xf>
    <xf numFmtId="165" fontId="0" fillId="0" borderId="6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174" fontId="0" fillId="0" borderId="29" xfId="42" applyNumberFormat="1" applyFont="1" applyFill="1" applyBorder="1" applyAlignment="1">
      <alignment horizontal="right"/>
    </xf>
    <xf numFmtId="174" fontId="0" fillId="0" borderId="30" xfId="42" applyNumberFormat="1" applyFont="1" applyBorder="1" applyAlignment="1">
      <alignment/>
    </xf>
    <xf numFmtId="174" fontId="0" fillId="0" borderId="30" xfId="42" applyNumberFormat="1" applyFont="1" applyFill="1" applyBorder="1" applyAlignment="1">
      <alignment horizontal="right"/>
    </xf>
    <xf numFmtId="174" fontId="0" fillId="0" borderId="31" xfId="0" applyNumberFormat="1" applyFont="1" applyFill="1" applyBorder="1" applyAlignment="1">
      <alignment horizontal="right"/>
    </xf>
    <xf numFmtId="174" fontId="0" fillId="0" borderId="29" xfId="42" applyNumberFormat="1" applyFont="1" applyBorder="1" applyAlignment="1">
      <alignment horizontal="right"/>
    </xf>
    <xf numFmtId="174" fontId="0" fillId="0" borderId="30" xfId="42" applyNumberFormat="1" applyFont="1" applyBorder="1" applyAlignment="1">
      <alignment horizontal="right"/>
    </xf>
    <xf numFmtId="174" fontId="0" fillId="0" borderId="29" xfId="0" applyNumberFormat="1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65" fontId="0" fillId="6" borderId="30" xfId="0" applyNumberFormat="1" applyFont="1" applyFill="1" applyBorder="1" applyAlignment="1">
      <alignment horizontal="right"/>
    </xf>
    <xf numFmtId="194" fontId="0" fillId="6" borderId="30" xfId="0" applyNumberFormat="1" applyFont="1" applyFill="1" applyBorder="1" applyAlignment="1">
      <alignment horizontal="right"/>
    </xf>
    <xf numFmtId="165" fontId="7" fillId="6" borderId="31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4" fontId="0" fillId="0" borderId="49" xfId="42" applyNumberFormat="1" applyFont="1" applyBorder="1" applyAlignment="1">
      <alignment horizontal="right"/>
    </xf>
    <xf numFmtId="174" fontId="0" fillId="0" borderId="37" xfId="42" applyNumberFormat="1" applyFont="1" applyBorder="1" applyAlignment="1">
      <alignment horizontal="right"/>
    </xf>
    <xf numFmtId="174" fontId="0" fillId="0" borderId="37" xfId="42" applyNumberFormat="1" applyFont="1" applyFill="1" applyBorder="1" applyAlignment="1">
      <alignment horizontal="right"/>
    </xf>
    <xf numFmtId="174" fontId="0" fillId="0" borderId="60" xfId="42" applyNumberFormat="1" applyFont="1" applyFill="1" applyBorder="1" applyAlignment="1">
      <alignment horizontal="right"/>
    </xf>
    <xf numFmtId="0" fontId="7" fillId="0" borderId="23" xfId="0" applyFont="1" applyBorder="1" applyAlignment="1">
      <alignment horizontal="center" wrapText="1"/>
    </xf>
    <xf numFmtId="174" fontId="0" fillId="0" borderId="12" xfId="42" applyNumberFormat="1" applyFont="1" applyFill="1" applyBorder="1" applyAlignment="1">
      <alignment horizontal="right"/>
    </xf>
    <xf numFmtId="174" fontId="0" fillId="0" borderId="13" xfId="42" applyNumberFormat="1" applyFont="1" applyFill="1" applyBorder="1" applyAlignment="1">
      <alignment horizontal="right"/>
    </xf>
    <xf numFmtId="174" fontId="0" fillId="0" borderId="20" xfId="0" applyNumberFormat="1" applyFont="1" applyFill="1" applyBorder="1" applyAlignment="1">
      <alignment horizontal="right"/>
    </xf>
    <xf numFmtId="192" fontId="0" fillId="0" borderId="62" xfId="42" applyNumberFormat="1" applyFont="1" applyFill="1" applyBorder="1" applyAlignment="1">
      <alignment/>
    </xf>
    <xf numFmtId="192" fontId="0" fillId="0" borderId="27" xfId="42" applyNumberFormat="1" applyFont="1" applyFill="1" applyBorder="1" applyAlignment="1">
      <alignment/>
    </xf>
    <xf numFmtId="192" fontId="0" fillId="0" borderId="63" xfId="42" applyNumberFormat="1" applyFont="1" applyFill="1" applyBorder="1" applyAlignment="1">
      <alignment/>
    </xf>
    <xf numFmtId="170" fontId="0" fillId="0" borderId="36" xfId="0" applyNumberFormat="1" applyFont="1" applyBorder="1" applyAlignment="1">
      <alignment/>
    </xf>
    <xf numFmtId="170" fontId="0" fillId="0" borderId="37" xfId="0" applyNumberFormat="1" applyFont="1" applyBorder="1" applyAlignment="1">
      <alignment/>
    </xf>
    <xf numFmtId="170" fontId="0" fillId="0" borderId="38" xfId="0" applyNumberFormat="1" applyFont="1" applyBorder="1" applyAlignment="1">
      <alignment/>
    </xf>
    <xf numFmtId="174" fontId="0" fillId="0" borderId="33" xfId="0" applyNumberFormat="1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57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5" fontId="0" fillId="0" borderId="19" xfId="0" applyNumberFormat="1" applyFont="1" applyFill="1" applyBorder="1" applyAlignment="1">
      <alignment horizontal="right"/>
    </xf>
    <xf numFmtId="174" fontId="7" fillId="0" borderId="54" xfId="0" applyNumberFormat="1" applyFont="1" applyBorder="1" applyAlignment="1">
      <alignment horizontal="right"/>
    </xf>
    <xf numFmtId="174" fontId="7" fillId="0" borderId="38" xfId="0" applyNumberFormat="1" applyFont="1" applyBorder="1" applyAlignment="1">
      <alignment horizontal="right"/>
    </xf>
    <xf numFmtId="174" fontId="0" fillId="0" borderId="43" xfId="0" applyNumberFormat="1" applyFont="1" applyBorder="1" applyAlignment="1">
      <alignment horizontal="right"/>
    </xf>
    <xf numFmtId="174" fontId="0" fillId="0" borderId="36" xfId="0" applyNumberFormat="1" applyFont="1" applyBorder="1" applyAlignment="1">
      <alignment horizontal="right"/>
    </xf>
    <xf numFmtId="174" fontId="0" fillId="0" borderId="53" xfId="0" applyNumberFormat="1" applyFont="1" applyBorder="1" applyAlignment="1">
      <alignment horizontal="right"/>
    </xf>
    <xf numFmtId="174" fontId="0" fillId="0" borderId="50" xfId="0" applyNumberFormat="1" applyFont="1" applyBorder="1" applyAlignment="1">
      <alignment horizontal="right"/>
    </xf>
    <xf numFmtId="174" fontId="0" fillId="0" borderId="49" xfId="0" applyNumberFormat="1" applyFont="1" applyBorder="1" applyAlignment="1">
      <alignment horizontal="right"/>
    </xf>
    <xf numFmtId="174" fontId="0" fillId="0" borderId="51" xfId="0" applyNumberFormat="1" applyFont="1" applyBorder="1" applyAlignment="1">
      <alignment/>
    </xf>
    <xf numFmtId="164" fontId="5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9" xfId="42" applyNumberFormat="1" applyFont="1" applyBorder="1" applyAlignment="1">
      <alignment horizontal="right"/>
    </xf>
    <xf numFmtId="165" fontId="0" fillId="0" borderId="10" xfId="44" applyNumberFormat="1" applyFont="1" applyFill="1" applyBorder="1" applyAlignment="1">
      <alignment horizontal="right"/>
    </xf>
    <xf numFmtId="165" fontId="0" fillId="0" borderId="13" xfId="44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/>
    </xf>
    <xf numFmtId="0" fontId="7" fillId="7" borderId="17" xfId="0" applyFont="1" applyFill="1" applyBorder="1" applyAlignment="1">
      <alignment horizontal="center" wrapText="1"/>
    </xf>
    <xf numFmtId="0" fontId="0" fillId="7" borderId="28" xfId="0" applyFont="1" applyFill="1" applyBorder="1" applyAlignment="1">
      <alignment/>
    </xf>
    <xf numFmtId="0" fontId="0" fillId="7" borderId="48" xfId="0" applyFont="1" applyFill="1" applyBorder="1" applyAlignment="1">
      <alignment/>
    </xf>
    <xf numFmtId="165" fontId="0" fillId="2" borderId="11" xfId="42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165" fontId="0" fillId="2" borderId="19" xfId="42" applyNumberFormat="1" applyFont="1" applyFill="1" applyBorder="1" applyAlignment="1">
      <alignment/>
    </xf>
    <xf numFmtId="165" fontId="0" fillId="5" borderId="11" xfId="42" applyNumberFormat="1" applyFon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165" fontId="0" fillId="5" borderId="19" xfId="42" applyNumberFormat="1" applyFont="1" applyFill="1" applyBorder="1" applyAlignment="1">
      <alignment/>
    </xf>
    <xf numFmtId="0" fontId="0" fillId="7" borderId="32" xfId="0" applyFont="1" applyFill="1" applyBorder="1" applyAlignment="1">
      <alignment/>
    </xf>
    <xf numFmtId="165" fontId="0" fillId="2" borderId="12" xfId="42" applyNumberFormat="1" applyFont="1" applyFill="1" applyBorder="1" applyAlignment="1">
      <alignment/>
    </xf>
    <xf numFmtId="165" fontId="0" fillId="2" borderId="13" xfId="42" applyNumberFormat="1" applyFont="1" applyFill="1" applyBorder="1" applyAlignment="1">
      <alignment/>
    </xf>
    <xf numFmtId="165" fontId="0" fillId="2" borderId="20" xfId="42" applyNumberFormat="1" applyFont="1" applyFill="1" applyBorder="1" applyAlignment="1">
      <alignment/>
    </xf>
    <xf numFmtId="165" fontId="0" fillId="5" borderId="12" xfId="42" applyNumberFormat="1" applyFont="1" applyFill="1" applyBorder="1" applyAlignment="1">
      <alignment/>
    </xf>
    <xf numFmtId="165" fontId="0" fillId="5" borderId="13" xfId="42" applyNumberFormat="1" applyFont="1" applyFill="1" applyBorder="1" applyAlignment="1">
      <alignment/>
    </xf>
    <xf numFmtId="165" fontId="0" fillId="5" borderId="2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4" fontId="0" fillId="6" borderId="11" xfId="42" applyNumberFormat="1" applyFont="1" applyFill="1" applyBorder="1" applyAlignment="1">
      <alignment/>
    </xf>
    <xf numFmtId="174" fontId="0" fillId="6" borderId="10" xfId="42" applyNumberFormat="1" applyFont="1" applyFill="1" applyBorder="1" applyAlignment="1">
      <alignment/>
    </xf>
    <xf numFmtId="174" fontId="0" fillId="6" borderId="19" xfId="42" applyNumberFormat="1" applyFont="1" applyFill="1" applyBorder="1" applyAlignment="1">
      <alignment/>
    </xf>
    <xf numFmtId="174" fontId="0" fillId="5" borderId="11" xfId="42" applyNumberFormat="1" applyFont="1" applyFill="1" applyBorder="1" applyAlignment="1">
      <alignment/>
    </xf>
    <xf numFmtId="174" fontId="0" fillId="5" borderId="10" xfId="42" applyNumberFormat="1" applyFont="1" applyFill="1" applyBorder="1" applyAlignment="1">
      <alignment/>
    </xf>
    <xf numFmtId="174" fontId="0" fillId="5" borderId="19" xfId="42" applyNumberFormat="1" applyFont="1" applyFill="1" applyBorder="1" applyAlignment="1">
      <alignment/>
    </xf>
    <xf numFmtId="174" fontId="0" fillId="6" borderId="12" xfId="42" applyNumberFormat="1" applyFont="1" applyFill="1" applyBorder="1" applyAlignment="1">
      <alignment/>
    </xf>
    <xf numFmtId="174" fontId="0" fillId="6" borderId="13" xfId="42" applyNumberFormat="1" applyFont="1" applyFill="1" applyBorder="1" applyAlignment="1">
      <alignment/>
    </xf>
    <xf numFmtId="174" fontId="0" fillId="6" borderId="20" xfId="42" applyNumberFormat="1" applyFont="1" applyFill="1" applyBorder="1" applyAlignment="1">
      <alignment/>
    </xf>
    <xf numFmtId="174" fontId="0" fillId="5" borderId="13" xfId="42" applyNumberFormat="1" applyFont="1" applyFill="1" applyBorder="1" applyAlignment="1">
      <alignment/>
    </xf>
    <xf numFmtId="174" fontId="0" fillId="5" borderId="20" xfId="42" applyNumberFormat="1" applyFont="1" applyFill="1" applyBorder="1" applyAlignment="1">
      <alignment/>
    </xf>
    <xf numFmtId="0" fontId="0" fillId="0" borderId="64" xfId="0" applyFont="1" applyFill="1" applyBorder="1" applyAlignment="1">
      <alignment vertical="center"/>
    </xf>
    <xf numFmtId="0" fontId="7" fillId="7" borderId="65" xfId="0" applyFont="1" applyFill="1" applyBorder="1" applyAlignment="1">
      <alignment horizontal="center" wrapText="1"/>
    </xf>
    <xf numFmtId="0" fontId="0" fillId="7" borderId="66" xfId="0" applyFont="1" applyFill="1" applyBorder="1" applyAlignment="1">
      <alignment/>
    </xf>
    <xf numFmtId="0" fontId="0" fillId="7" borderId="67" xfId="0" applyFont="1" applyFill="1" applyBorder="1" applyAlignment="1">
      <alignment/>
    </xf>
    <xf numFmtId="174" fontId="0" fillId="5" borderId="12" xfId="42" applyNumberFormat="1" applyFont="1" applyFill="1" applyBorder="1" applyAlignment="1">
      <alignment/>
    </xf>
    <xf numFmtId="0" fontId="0" fillId="7" borderId="68" xfId="0" applyFont="1" applyFill="1" applyBorder="1" applyAlignment="1">
      <alignment/>
    </xf>
    <xf numFmtId="192" fontId="0" fillId="5" borderId="15" xfId="42" applyNumberFormat="1" applyFont="1" applyFill="1" applyBorder="1" applyAlignment="1">
      <alignment/>
    </xf>
    <xf numFmtId="165" fontId="0" fillId="5" borderId="16" xfId="44" applyNumberFormat="1" applyFont="1" applyFill="1" applyBorder="1" applyAlignment="1">
      <alignment/>
    </xf>
    <xf numFmtId="192" fontId="0" fillId="6" borderId="11" xfId="42" applyNumberFormat="1" applyFont="1" applyFill="1" applyBorder="1" applyAlignment="1">
      <alignment/>
    </xf>
    <xf numFmtId="165" fontId="0" fillId="6" borderId="10" xfId="44" applyNumberFormat="1" applyFont="1" applyFill="1" applyBorder="1" applyAlignment="1">
      <alignment/>
    </xf>
    <xf numFmtId="192" fontId="0" fillId="5" borderId="11" xfId="42" applyNumberFormat="1" applyFont="1" applyFill="1" applyBorder="1" applyAlignment="1">
      <alignment/>
    </xf>
    <xf numFmtId="165" fontId="0" fillId="5" borderId="10" xfId="44" applyNumberFormat="1" applyFont="1" applyFill="1" applyBorder="1" applyAlignment="1">
      <alignment/>
    </xf>
    <xf numFmtId="192" fontId="0" fillId="6" borderId="12" xfId="42" applyNumberFormat="1" applyFont="1" applyFill="1" applyBorder="1" applyAlignment="1">
      <alignment/>
    </xf>
    <xf numFmtId="165" fontId="0" fillId="6" borderId="13" xfId="44" applyNumberFormat="1" applyFont="1" applyFill="1" applyBorder="1" applyAlignment="1">
      <alignment/>
    </xf>
    <xf numFmtId="192" fontId="0" fillId="5" borderId="12" xfId="42" applyNumberFormat="1" applyFont="1" applyFill="1" applyBorder="1" applyAlignment="1">
      <alignment/>
    </xf>
    <xf numFmtId="165" fontId="0" fillId="5" borderId="13" xfId="44" applyNumberFormat="1" applyFont="1" applyFill="1" applyBorder="1" applyAlignment="1">
      <alignment/>
    </xf>
    <xf numFmtId="192" fontId="7" fillId="6" borderId="50" xfId="0" applyNumberFormat="1" applyFont="1" applyFill="1" applyBorder="1" applyAlignment="1">
      <alignment/>
    </xf>
    <xf numFmtId="192" fontId="7" fillId="5" borderId="50" xfId="0" applyNumberFormat="1" applyFont="1" applyFill="1" applyBorder="1" applyAlignment="1">
      <alignment/>
    </xf>
    <xf numFmtId="192" fontId="7" fillId="0" borderId="0" xfId="0" applyNumberFormat="1" applyFont="1" applyBorder="1" applyAlignment="1">
      <alignment/>
    </xf>
    <xf numFmtId="0" fontId="7" fillId="5" borderId="16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/>
    </xf>
    <xf numFmtId="0" fontId="0" fillId="7" borderId="69" xfId="0" applyFont="1" applyFill="1" applyBorder="1" applyAlignment="1">
      <alignment/>
    </xf>
    <xf numFmtId="0" fontId="7" fillId="5" borderId="15" xfId="0" applyFont="1" applyFill="1" applyBorder="1" applyAlignment="1">
      <alignment horizontal="center" wrapText="1"/>
    </xf>
    <xf numFmtId="0" fontId="7" fillId="7" borderId="45" xfId="0" applyFont="1" applyFill="1" applyBorder="1" applyAlignment="1">
      <alignment horizontal="center" wrapText="1"/>
    </xf>
    <xf numFmtId="0" fontId="0" fillId="7" borderId="53" xfId="0" applyFont="1" applyFill="1" applyBorder="1" applyAlignment="1">
      <alignment/>
    </xf>
    <xf numFmtId="0" fontId="0" fillId="7" borderId="44" xfId="0" applyFont="1" applyFill="1" applyBorder="1" applyAlignment="1">
      <alignment/>
    </xf>
    <xf numFmtId="0" fontId="0" fillId="7" borderId="46" xfId="0" applyFont="1" applyFill="1" applyBorder="1" applyAlignment="1">
      <alignment/>
    </xf>
    <xf numFmtId="0" fontId="0" fillId="7" borderId="54" xfId="0" applyFont="1" applyFill="1" applyBorder="1" applyAlignment="1">
      <alignment/>
    </xf>
    <xf numFmtId="0" fontId="7" fillId="5" borderId="36" xfId="0" applyFont="1" applyFill="1" applyBorder="1" applyAlignment="1">
      <alignment horizontal="center" wrapText="1"/>
    </xf>
    <xf numFmtId="174" fontId="0" fillId="5" borderId="37" xfId="42" applyNumberFormat="1" applyFont="1" applyFill="1" applyBorder="1" applyAlignment="1">
      <alignment/>
    </xf>
    <xf numFmtId="174" fontId="0" fillId="5" borderId="38" xfId="42" applyNumberFormat="1" applyFont="1" applyFill="1" applyBorder="1" applyAlignment="1">
      <alignment/>
    </xf>
    <xf numFmtId="0" fontId="7" fillId="6" borderId="15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7" fillId="7" borderId="4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6" fillId="7" borderId="43" xfId="0" applyNumberFormat="1" applyFont="1" applyFill="1" applyBorder="1" applyAlignment="1">
      <alignment horizontal="center" wrapText="1"/>
    </xf>
    <xf numFmtId="165" fontId="0" fillId="6" borderId="19" xfId="0" applyNumberFormat="1" applyFill="1" applyBorder="1" applyAlignment="1">
      <alignment/>
    </xf>
    <xf numFmtId="165" fontId="0" fillId="6" borderId="20" xfId="0" applyNumberFormat="1" applyFill="1" applyBorder="1" applyAlignment="1">
      <alignment/>
    </xf>
    <xf numFmtId="0" fontId="7" fillId="5" borderId="59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165" fontId="0" fillId="5" borderId="18" xfId="0" applyNumberFormat="1" applyFill="1" applyBorder="1" applyAlignment="1">
      <alignment/>
    </xf>
    <xf numFmtId="165" fontId="0" fillId="5" borderId="19" xfId="0" applyNumberFormat="1" applyFill="1" applyBorder="1" applyAlignment="1">
      <alignment/>
    </xf>
    <xf numFmtId="165" fontId="0" fillId="5" borderId="20" xfId="0" applyNumberFormat="1" applyFill="1" applyBorder="1" applyAlignment="1">
      <alignment/>
    </xf>
    <xf numFmtId="192" fontId="7" fillId="33" borderId="57" xfId="0" applyNumberFormat="1" applyFont="1" applyFill="1" applyBorder="1" applyAlignment="1">
      <alignment vertical="center"/>
    </xf>
    <xf numFmtId="192" fontId="7" fillId="5" borderId="57" xfId="0" applyNumberFormat="1" applyFont="1" applyFill="1" applyBorder="1" applyAlignment="1">
      <alignment vertical="center"/>
    </xf>
    <xf numFmtId="0" fontId="6" fillId="7" borderId="43" xfId="0" applyNumberFormat="1" applyFont="1" applyFill="1" applyBorder="1" applyAlignment="1">
      <alignment horizontal="center" vertical="center" wrapText="1"/>
    </xf>
    <xf numFmtId="0" fontId="0" fillId="7" borderId="44" xfId="0" applyFont="1" applyFill="1" applyBorder="1" applyAlignment="1">
      <alignment vertical="center"/>
    </xf>
    <xf numFmtId="0" fontId="0" fillId="7" borderId="5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192" fontId="0" fillId="33" borderId="11" xfId="42" applyNumberFormat="1" applyFont="1" applyFill="1" applyBorder="1" applyAlignment="1">
      <alignment vertical="center"/>
    </xf>
    <xf numFmtId="192" fontId="0" fillId="33" borderId="12" xfId="42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192" fontId="0" fillId="5" borderId="11" xfId="42" applyNumberFormat="1" applyFont="1" applyFill="1" applyBorder="1" applyAlignment="1">
      <alignment vertical="center"/>
    </xf>
    <xf numFmtId="192" fontId="0" fillId="5" borderId="12" xfId="42" applyNumberFormat="1" applyFont="1" applyFill="1" applyBorder="1" applyAlignment="1">
      <alignment vertical="center"/>
    </xf>
    <xf numFmtId="165" fontId="0" fillId="5" borderId="16" xfId="42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 vertical="center"/>
    </xf>
    <xf numFmtId="165" fontId="0" fillId="33" borderId="19" xfId="42" applyNumberFormat="1" applyFont="1" applyFill="1" applyBorder="1" applyAlignment="1">
      <alignment vertical="center"/>
    </xf>
    <xf numFmtId="165" fontId="0" fillId="33" borderId="13" xfId="42" applyNumberFormat="1" applyFont="1" applyFill="1" applyBorder="1" applyAlignment="1">
      <alignment vertical="center"/>
    </xf>
    <xf numFmtId="165" fontId="0" fillId="33" borderId="20" xfId="42" applyNumberFormat="1" applyFont="1" applyFill="1" applyBorder="1" applyAlignment="1">
      <alignment vertical="center"/>
    </xf>
    <xf numFmtId="165" fontId="0" fillId="5" borderId="10" xfId="42" applyNumberFormat="1" applyFont="1" applyFill="1" applyBorder="1" applyAlignment="1">
      <alignment vertical="center"/>
    </xf>
    <xf numFmtId="165" fontId="0" fillId="5" borderId="19" xfId="42" applyNumberFormat="1" applyFont="1" applyFill="1" applyBorder="1" applyAlignment="1">
      <alignment vertical="center"/>
    </xf>
    <xf numFmtId="165" fontId="0" fillId="5" borderId="13" xfId="42" applyNumberFormat="1" applyFont="1" applyFill="1" applyBorder="1" applyAlignment="1">
      <alignment vertical="center"/>
    </xf>
    <xf numFmtId="165" fontId="0" fillId="5" borderId="20" xfId="42" applyNumberFormat="1" applyFont="1" applyFill="1" applyBorder="1" applyAlignment="1">
      <alignment vertical="center"/>
    </xf>
    <xf numFmtId="0" fontId="50" fillId="0" borderId="0" xfId="0" applyFont="1" applyFill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/>
    </xf>
    <xf numFmtId="0" fontId="7" fillId="6" borderId="72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5" borderId="72" xfId="0" applyFont="1" applyFill="1" applyBorder="1" applyAlignment="1">
      <alignment horizontal="center"/>
    </xf>
    <xf numFmtId="0" fontId="7" fillId="5" borderId="65" xfId="0" applyFont="1" applyFill="1" applyBorder="1" applyAlignment="1">
      <alignment horizontal="center"/>
    </xf>
    <xf numFmtId="0" fontId="7" fillId="6" borderId="70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/>
    </xf>
    <xf numFmtId="0" fontId="7" fillId="5" borderId="70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192" fontId="7" fillId="2" borderId="40" xfId="42" applyNumberFormat="1" applyFont="1" applyFill="1" applyBorder="1" applyAlignment="1">
      <alignment horizontal="center"/>
    </xf>
    <xf numFmtId="192" fontId="7" fillId="2" borderId="42" xfId="42" applyNumberFormat="1" applyFont="1" applyFill="1" applyBorder="1" applyAlignment="1">
      <alignment horizontal="center"/>
    </xf>
    <xf numFmtId="192" fontId="7" fillId="2" borderId="41" xfId="42" applyNumberFormat="1" applyFont="1" applyFill="1" applyBorder="1" applyAlignment="1">
      <alignment horizontal="center"/>
    </xf>
    <xf numFmtId="192" fontId="7" fillId="5" borderId="15" xfId="42" applyNumberFormat="1" applyFont="1" applyFill="1" applyBorder="1" applyAlignment="1">
      <alignment horizontal="center"/>
    </xf>
    <xf numFmtId="192" fontId="7" fillId="5" borderId="16" xfId="42" applyNumberFormat="1" applyFont="1" applyFill="1" applyBorder="1" applyAlignment="1">
      <alignment horizontal="center"/>
    </xf>
    <xf numFmtId="192" fontId="7" fillId="5" borderId="18" xfId="42" applyNumberFormat="1" applyFont="1" applyFill="1" applyBorder="1" applyAlignment="1">
      <alignment horizontal="center"/>
    </xf>
    <xf numFmtId="192" fontId="7" fillId="2" borderId="70" xfId="42" applyNumberFormat="1" applyFont="1" applyFill="1" applyBorder="1" applyAlignment="1">
      <alignment horizontal="center"/>
    </xf>
    <xf numFmtId="192" fontId="7" fillId="2" borderId="56" xfId="42" applyNumberFormat="1" applyFont="1" applyFill="1" applyBorder="1" applyAlignment="1">
      <alignment horizontal="center"/>
    </xf>
    <xf numFmtId="192" fontId="7" fillId="2" borderId="71" xfId="42" applyNumberFormat="1" applyFont="1" applyFill="1" applyBorder="1" applyAlignment="1">
      <alignment horizontal="center"/>
    </xf>
    <xf numFmtId="192" fontId="7" fillId="5" borderId="70" xfId="42" applyNumberFormat="1" applyFont="1" applyFill="1" applyBorder="1" applyAlignment="1">
      <alignment horizontal="center"/>
    </xf>
    <xf numFmtId="192" fontId="7" fillId="5" borderId="56" xfId="42" applyNumberFormat="1" applyFont="1" applyFill="1" applyBorder="1" applyAlignment="1">
      <alignment horizontal="center"/>
    </xf>
    <xf numFmtId="192" fontId="7" fillId="5" borderId="71" xfId="42" applyNumberFormat="1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/>
    </xf>
    <xf numFmtId="0" fontId="4" fillId="0" borderId="73" xfId="0" applyFont="1" applyFill="1" applyBorder="1" applyAlignment="1">
      <alignment/>
    </xf>
    <xf numFmtId="192" fontId="7" fillId="6" borderId="45" xfId="42" applyNumberFormat="1" applyFont="1" applyFill="1" applyBorder="1" applyAlignment="1">
      <alignment horizontal="center"/>
    </xf>
    <xf numFmtId="192" fontId="7" fillId="6" borderId="72" xfId="42" applyNumberFormat="1" applyFont="1" applyFill="1" applyBorder="1" applyAlignment="1">
      <alignment horizontal="center"/>
    </xf>
    <xf numFmtId="192" fontId="7" fillId="6" borderId="65" xfId="42" applyNumberFormat="1" applyFont="1" applyFill="1" applyBorder="1" applyAlignment="1">
      <alignment horizontal="center"/>
    </xf>
    <xf numFmtId="192" fontId="7" fillId="5" borderId="40" xfId="42" applyNumberFormat="1" applyFont="1" applyFill="1" applyBorder="1" applyAlignment="1">
      <alignment horizontal="center"/>
    </xf>
    <xf numFmtId="192" fontId="7" fillId="5" borderId="42" xfId="42" applyNumberFormat="1" applyFont="1" applyFill="1" applyBorder="1" applyAlignment="1">
      <alignment horizontal="center"/>
    </xf>
    <xf numFmtId="192" fontId="7" fillId="5" borderId="41" xfId="42" applyNumberFormat="1" applyFont="1" applyFill="1" applyBorder="1" applyAlignment="1">
      <alignment horizontal="center"/>
    </xf>
    <xf numFmtId="192" fontId="7" fillId="6" borderId="70" xfId="42" applyNumberFormat="1" applyFont="1" applyFill="1" applyBorder="1" applyAlignment="1">
      <alignment horizontal="center" vertical="center" wrapText="1"/>
    </xf>
    <xf numFmtId="192" fontId="7" fillId="6" borderId="56" xfId="42" applyNumberFormat="1" applyFont="1" applyFill="1" applyBorder="1" applyAlignment="1">
      <alignment horizontal="center" vertical="center" wrapText="1"/>
    </xf>
    <xf numFmtId="192" fontId="7" fillId="6" borderId="71" xfId="42" applyNumberFormat="1" applyFont="1" applyFill="1" applyBorder="1" applyAlignment="1">
      <alignment horizontal="center" vertical="center" wrapText="1"/>
    </xf>
    <xf numFmtId="192" fontId="7" fillId="6" borderId="58" xfId="42" applyNumberFormat="1" applyFont="1" applyFill="1" applyBorder="1" applyAlignment="1">
      <alignment horizontal="center" vertical="center" wrapText="1"/>
    </xf>
    <xf numFmtId="192" fontId="7" fillId="6" borderId="0" xfId="42" applyNumberFormat="1" applyFont="1" applyFill="1" applyBorder="1" applyAlignment="1">
      <alignment horizontal="center" vertical="center" wrapText="1"/>
    </xf>
    <xf numFmtId="192" fontId="7" fillId="6" borderId="61" xfId="42" applyNumberFormat="1" applyFont="1" applyFill="1" applyBorder="1" applyAlignment="1">
      <alignment horizontal="center" vertical="center" wrapText="1"/>
    </xf>
    <xf numFmtId="192" fontId="7" fillId="6" borderId="74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6" borderId="15" xfId="0" applyFont="1" applyFill="1" applyBorder="1" applyAlignment="1">
      <alignment vertical="center" wrapText="1"/>
    </xf>
    <xf numFmtId="0" fontId="12" fillId="6" borderId="16" xfId="0" applyFont="1" applyFill="1" applyBorder="1" applyAlignment="1">
      <alignment vertical="center" wrapText="1"/>
    </xf>
    <xf numFmtId="0" fontId="12" fillId="6" borderId="18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165" fontId="11" fillId="0" borderId="45" xfId="0" applyNumberFormat="1" applyFont="1" applyBorder="1" applyAlignment="1">
      <alignment horizontal="center" vertical="center" wrapText="1"/>
    </xf>
    <xf numFmtId="165" fontId="11" fillId="0" borderId="72" xfId="0" applyNumberFormat="1" applyFont="1" applyBorder="1" applyAlignment="1">
      <alignment horizontal="center" vertical="center" wrapText="1"/>
    </xf>
    <xf numFmtId="165" fontId="11" fillId="0" borderId="6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13" fillId="5" borderId="21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165" fontId="11" fillId="0" borderId="45" xfId="0" applyNumberFormat="1" applyFont="1" applyBorder="1" applyAlignment="1">
      <alignment horizontal="center" vertical="top" wrapText="1"/>
    </xf>
    <xf numFmtId="165" fontId="11" fillId="0" borderId="65" xfId="0" applyNumberFormat="1" applyFont="1" applyBorder="1" applyAlignment="1">
      <alignment horizontal="center" vertical="top" wrapText="1"/>
    </xf>
    <xf numFmtId="0" fontId="12" fillId="6" borderId="45" xfId="0" applyFont="1" applyFill="1" applyBorder="1" applyAlignment="1">
      <alignment horizontal="left"/>
    </xf>
    <xf numFmtId="0" fontId="12" fillId="6" borderId="56" xfId="0" applyFont="1" applyFill="1" applyBorder="1" applyAlignment="1">
      <alignment horizontal="left"/>
    </xf>
    <xf numFmtId="0" fontId="12" fillId="6" borderId="7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165" fontId="7" fillId="0" borderId="40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0" fontId="12" fillId="5" borderId="45" xfId="0" applyFont="1" applyFill="1" applyBorder="1" applyAlignment="1">
      <alignment horizontal="left"/>
    </xf>
    <xf numFmtId="0" fontId="12" fillId="5" borderId="71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164" fontId="7" fillId="0" borderId="40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165" fontId="7" fillId="0" borderId="75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76" xfId="0" applyNumberFormat="1" applyFont="1" applyBorder="1" applyAlignment="1">
      <alignment horizontal="center"/>
    </xf>
    <xf numFmtId="165" fontId="7" fillId="0" borderId="70" xfId="0" applyNumberFormat="1" applyFont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71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7" fillId="0" borderId="45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right"/>
    </xf>
    <xf numFmtId="0" fontId="12" fillId="6" borderId="70" xfId="0" applyFont="1" applyFill="1" applyBorder="1" applyAlignment="1">
      <alignment vertical="center" wrapText="1"/>
    </xf>
    <xf numFmtId="0" fontId="12" fillId="6" borderId="56" xfId="0" applyFont="1" applyFill="1" applyBorder="1" applyAlignment="1">
      <alignment vertical="center" wrapText="1"/>
    </xf>
    <xf numFmtId="0" fontId="12" fillId="6" borderId="71" xfId="0" applyFont="1" applyFill="1" applyBorder="1" applyAlignment="1">
      <alignment vertical="center" wrapText="1"/>
    </xf>
    <xf numFmtId="0" fontId="12" fillId="6" borderId="58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7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9" width="12.7109375" style="0" customWidth="1"/>
  </cols>
  <sheetData>
    <row r="1" spans="1:9" ht="19.5" customHeight="1">
      <c r="A1" s="608" t="s">
        <v>294</v>
      </c>
      <c r="B1" s="608"/>
      <c r="C1" s="608"/>
      <c r="D1" s="608"/>
      <c r="E1" s="608"/>
      <c r="F1" s="608"/>
      <c r="G1" s="608"/>
      <c r="H1" s="608"/>
      <c r="I1" s="608"/>
    </row>
    <row r="2" spans="1:9" ht="19.5" customHeight="1">
      <c r="A2" s="609" t="s">
        <v>304</v>
      </c>
      <c r="B2" s="610"/>
      <c r="C2" s="553"/>
      <c r="D2" s="553"/>
      <c r="E2" s="553"/>
      <c r="F2" s="553"/>
      <c r="G2" s="311"/>
      <c r="H2" s="311"/>
      <c r="I2" s="311" t="s">
        <v>24</v>
      </c>
    </row>
    <row r="3" spans="1:9" ht="19.5" customHeight="1" thickBot="1">
      <c r="A3" s="554"/>
      <c r="B3" s="554"/>
      <c r="C3" s="554"/>
      <c r="D3" s="554"/>
      <c r="E3" s="554"/>
      <c r="F3" s="311"/>
      <c r="G3" s="311"/>
      <c r="H3" s="311"/>
      <c r="I3" s="311"/>
    </row>
    <row r="4" spans="1:9" ht="19.5" customHeight="1" thickBot="1">
      <c r="A4" s="310"/>
      <c r="B4" s="611" t="s">
        <v>193</v>
      </c>
      <c r="C4" s="612"/>
      <c r="D4" s="612"/>
      <c r="E4" s="613"/>
      <c r="F4" s="614" t="s">
        <v>276</v>
      </c>
      <c r="G4" s="615"/>
      <c r="H4" s="615"/>
      <c r="I4" s="616"/>
    </row>
    <row r="5" spans="1:9" ht="79.5" customHeight="1">
      <c r="A5" s="587" t="s">
        <v>7</v>
      </c>
      <c r="B5" s="590" t="s">
        <v>293</v>
      </c>
      <c r="C5" s="555" t="s">
        <v>301</v>
      </c>
      <c r="D5" s="555" t="s">
        <v>302</v>
      </c>
      <c r="E5" s="556" t="s">
        <v>288</v>
      </c>
      <c r="F5" s="593" t="s">
        <v>289</v>
      </c>
      <c r="G5" s="557" t="s">
        <v>303</v>
      </c>
      <c r="H5" s="557" t="s">
        <v>291</v>
      </c>
      <c r="I5" s="558" t="s">
        <v>292</v>
      </c>
    </row>
    <row r="6" spans="1:9" ht="19.5" customHeight="1">
      <c r="A6" s="588" t="s">
        <v>16</v>
      </c>
      <c r="B6" s="591">
        <f>Summary!B52</f>
        <v>3076.731780835372</v>
      </c>
      <c r="C6" s="597">
        <f>Summary!C52</f>
        <v>166.08216466717332</v>
      </c>
      <c r="D6" s="597">
        <f>Summary!D52</f>
        <v>0.30199199376458724</v>
      </c>
      <c r="E6" s="598">
        <f>Summary!E52</f>
        <v>165.78017267340874</v>
      </c>
      <c r="F6" s="594">
        <f>Summary!F52</f>
        <v>3074.4704011261065</v>
      </c>
      <c r="G6" s="601">
        <f>Summary!G52</f>
        <v>166.72973410653466</v>
      </c>
      <c r="H6" s="601">
        <f>Summary!H52</f>
        <v>0.3323200905637706</v>
      </c>
      <c r="I6" s="602">
        <f>Summary!I52</f>
        <v>166.3974140159709</v>
      </c>
    </row>
    <row r="7" spans="1:9" ht="19.5" customHeight="1">
      <c r="A7" s="588" t="s">
        <v>32</v>
      </c>
      <c r="B7" s="591">
        <f>Summary!B53</f>
        <v>13078.959258298051</v>
      </c>
      <c r="C7" s="597">
        <f>Summary!C53</f>
        <v>134.62216466717334</v>
      </c>
      <c r="D7" s="597">
        <f>Summary!D53</f>
        <v>0</v>
      </c>
      <c r="E7" s="598">
        <f>Summary!E53</f>
        <v>134.62216466717334</v>
      </c>
      <c r="F7" s="594">
        <f>Summary!F53</f>
        <v>13054.18896815917</v>
      </c>
      <c r="G7" s="601">
        <f>Summary!G53</f>
        <v>135.71980819496997</v>
      </c>
      <c r="H7" s="601">
        <f>Summary!H53</f>
        <v>0</v>
      </c>
      <c r="I7" s="602">
        <f>Summary!I53</f>
        <v>135.71980819496997</v>
      </c>
    </row>
    <row r="8" spans="1:9" ht="19.5" customHeight="1">
      <c r="A8" s="588" t="s">
        <v>19</v>
      </c>
      <c r="B8" s="591">
        <f>Summary!B54</f>
        <v>9846.666646307867</v>
      </c>
      <c r="C8" s="597">
        <f>Summary!C54</f>
        <v>134.62216466717334</v>
      </c>
      <c r="D8" s="597">
        <f>Summary!D54</f>
        <v>0</v>
      </c>
      <c r="E8" s="598">
        <f>Summary!E54</f>
        <v>134.62216466717334</v>
      </c>
      <c r="F8" s="594">
        <f>Summary!F54</f>
        <v>9728.989238235037</v>
      </c>
      <c r="G8" s="601">
        <f>Summary!G54</f>
        <v>135.71980819496997</v>
      </c>
      <c r="H8" s="601">
        <f>Summary!H54</f>
        <v>0</v>
      </c>
      <c r="I8" s="602">
        <f>Summary!I54</f>
        <v>135.71980819496997</v>
      </c>
    </row>
    <row r="9" spans="1:9" ht="19.5" customHeight="1">
      <c r="A9" s="588" t="s">
        <v>51</v>
      </c>
      <c r="B9" s="591">
        <f>Summary!B55</f>
        <v>14940.429536115023</v>
      </c>
      <c r="C9" s="597">
        <f>Summary!C55</f>
        <v>342.3029412191384</v>
      </c>
      <c r="D9" s="597">
        <f>Summary!D55</f>
        <v>48.274583277497825</v>
      </c>
      <c r="E9" s="598">
        <f>Summary!E55</f>
        <v>294.0283579416406</v>
      </c>
      <c r="F9" s="594">
        <f>Summary!F55</f>
        <v>14786.182482815933</v>
      </c>
      <c r="G9" s="601">
        <f>Summary!G55</f>
        <v>343.7116489541744</v>
      </c>
      <c r="H9" s="601">
        <f>Summary!H55</f>
        <v>47.744493903874435</v>
      </c>
      <c r="I9" s="602">
        <f>Summary!I55</f>
        <v>295.96715505029994</v>
      </c>
    </row>
    <row r="10" spans="1:9" ht="19.5" customHeight="1">
      <c r="A10" s="588" t="s">
        <v>11</v>
      </c>
      <c r="B10" s="591">
        <f>Summary!B56</f>
        <v>8209.867837856144</v>
      </c>
      <c r="C10" s="597">
        <f>Summary!C56</f>
        <v>166.08216466717332</v>
      </c>
      <c r="D10" s="597">
        <f>Summary!D56</f>
        <v>0.30199199376458724</v>
      </c>
      <c r="E10" s="598">
        <f>Summary!E56</f>
        <v>165.78017267340874</v>
      </c>
      <c r="F10" s="594">
        <f>Summary!F56</f>
        <v>8090.455745506085</v>
      </c>
      <c r="G10" s="601">
        <f>Summary!G56</f>
        <v>166.72973410653466</v>
      </c>
      <c r="H10" s="601">
        <f>Summary!H56</f>
        <v>0.33232009056377065</v>
      </c>
      <c r="I10" s="602">
        <f>Summary!I56</f>
        <v>166.3974140159709</v>
      </c>
    </row>
    <row r="11" spans="1:9" ht="19.5" customHeight="1">
      <c r="A11" s="588" t="s">
        <v>20</v>
      </c>
      <c r="B11" s="591">
        <f>Summary!B57</f>
        <v>26507.141115840546</v>
      </c>
      <c r="C11" s="597">
        <f>Summary!C57</f>
        <v>134.62216466717334</v>
      </c>
      <c r="D11" s="597">
        <f>Summary!D57</f>
        <v>0</v>
      </c>
      <c r="E11" s="598">
        <f>Summary!E57</f>
        <v>134.62216466717334</v>
      </c>
      <c r="F11" s="594">
        <f>Summary!F57</f>
        <v>25875.893617549114</v>
      </c>
      <c r="G11" s="601">
        <f>Summary!G57</f>
        <v>135.71980819496997</v>
      </c>
      <c r="H11" s="601">
        <f>Summary!H57</f>
        <v>0</v>
      </c>
      <c r="I11" s="602">
        <f>Summary!I57</f>
        <v>135.71980819496997</v>
      </c>
    </row>
    <row r="12" spans="1:9" ht="19.5" customHeight="1">
      <c r="A12" s="588" t="s">
        <v>21</v>
      </c>
      <c r="B12" s="591">
        <f>Summary!B58</f>
        <v>3935.0668260921884</v>
      </c>
      <c r="C12" s="597">
        <f>Summary!C58</f>
        <v>134.62216466717334</v>
      </c>
      <c r="D12" s="597">
        <f>Summary!D58</f>
        <v>0</v>
      </c>
      <c r="E12" s="598">
        <f>Summary!E58</f>
        <v>134.62216466717334</v>
      </c>
      <c r="F12" s="594">
        <f>Summary!F58</f>
        <v>3909.4178316837224</v>
      </c>
      <c r="G12" s="601">
        <f>Summary!G58</f>
        <v>135.71980819496997</v>
      </c>
      <c r="H12" s="601">
        <f>Summary!H58</f>
        <v>0</v>
      </c>
      <c r="I12" s="602">
        <f>Summary!I58</f>
        <v>135.71980819496997</v>
      </c>
    </row>
    <row r="13" spans="1:9" ht="19.5" customHeight="1">
      <c r="A13" s="588" t="s">
        <v>66</v>
      </c>
      <c r="B13" s="591">
        <f>Summary!B59</f>
        <v>5357.667141010116</v>
      </c>
      <c r="C13" s="597">
        <f>Summary!C59</f>
        <v>134.62216466717334</v>
      </c>
      <c r="D13" s="597">
        <f>Summary!D59</f>
        <v>0</v>
      </c>
      <c r="E13" s="598">
        <f>Summary!E59</f>
        <v>134.62216466717334</v>
      </c>
      <c r="F13" s="594">
        <f>Summary!F59</f>
        <v>5170.090552527055</v>
      </c>
      <c r="G13" s="601">
        <f>Summary!G59</f>
        <v>135.71980819496997</v>
      </c>
      <c r="H13" s="601">
        <f>Summary!H59</f>
        <v>0</v>
      </c>
      <c r="I13" s="602">
        <f>Summary!I59</f>
        <v>135.71980819496997</v>
      </c>
    </row>
    <row r="14" spans="1:9" ht="19.5" customHeight="1">
      <c r="A14" s="588" t="s">
        <v>50</v>
      </c>
      <c r="B14" s="591">
        <f>Summary!B60</f>
        <v>3339.969527349258</v>
      </c>
      <c r="C14" s="597">
        <f>Summary!C60</f>
        <v>134.62216466717334</v>
      </c>
      <c r="D14" s="597">
        <f>Summary!D60</f>
        <v>0</v>
      </c>
      <c r="E14" s="598">
        <f>Summary!E60</f>
        <v>134.62216466717334</v>
      </c>
      <c r="F14" s="594">
        <f>Summary!F60</f>
        <v>3319.2119563033652</v>
      </c>
      <c r="G14" s="601">
        <f>Summary!G60</f>
        <v>135.71980819496997</v>
      </c>
      <c r="H14" s="601">
        <f>Summary!H60</f>
        <v>0</v>
      </c>
      <c r="I14" s="602">
        <f>Summary!I60</f>
        <v>135.71980819496997</v>
      </c>
    </row>
    <row r="15" spans="1:9" ht="19.5" customHeight="1">
      <c r="A15" s="588" t="s">
        <v>33</v>
      </c>
      <c r="B15" s="591">
        <f>Summary!B61</f>
        <v>22882.559836918583</v>
      </c>
      <c r="C15" s="597">
        <f>Summary!C61</f>
        <v>134.62216466717334</v>
      </c>
      <c r="D15" s="597">
        <f>Summary!D61</f>
        <v>0</v>
      </c>
      <c r="E15" s="598">
        <f>Summary!E61</f>
        <v>134.62216466717334</v>
      </c>
      <c r="F15" s="594">
        <f>Summary!F61</f>
        <v>22480.504007363925</v>
      </c>
      <c r="G15" s="601">
        <f>Summary!G61</f>
        <v>135.71980819496997</v>
      </c>
      <c r="H15" s="601">
        <f>Summary!H61</f>
        <v>0</v>
      </c>
      <c r="I15" s="602">
        <f>Summary!I61</f>
        <v>135.71980819496997</v>
      </c>
    </row>
    <row r="16" spans="1:9" ht="19.5" customHeight="1">
      <c r="A16" s="588" t="s">
        <v>17</v>
      </c>
      <c r="B16" s="591">
        <f>Summary!B62</f>
        <v>4696.656374766977</v>
      </c>
      <c r="C16" s="597">
        <f>Summary!C62</f>
        <v>166.08216466717332</v>
      </c>
      <c r="D16" s="597">
        <f>Summary!D62</f>
        <v>0.3019919937645872</v>
      </c>
      <c r="E16" s="598">
        <f>Summary!E62</f>
        <v>165.78017267340874</v>
      </c>
      <c r="F16" s="594">
        <f>Summary!F62</f>
        <v>4662.979140424058</v>
      </c>
      <c r="G16" s="601">
        <f>Summary!G62</f>
        <v>166.72973410653466</v>
      </c>
      <c r="H16" s="601">
        <f>Summary!H62</f>
        <v>0.33232009056377065</v>
      </c>
      <c r="I16" s="602">
        <f>Summary!I62</f>
        <v>166.3974140159709</v>
      </c>
    </row>
    <row r="17" spans="1:9" ht="19.5" customHeight="1">
      <c r="A17" s="588" t="s">
        <v>12</v>
      </c>
      <c r="B17" s="591">
        <f>Summary!B63</f>
        <v>7142.29253254983</v>
      </c>
      <c r="C17" s="597">
        <f>Summary!C63</f>
        <v>166.08216466717332</v>
      </c>
      <c r="D17" s="597">
        <f>Summary!D63</f>
        <v>0.3019919937645872</v>
      </c>
      <c r="E17" s="598">
        <f>Summary!E63</f>
        <v>165.78017267340874</v>
      </c>
      <c r="F17" s="594">
        <f>Summary!F63</f>
        <v>7054.881676263059</v>
      </c>
      <c r="G17" s="601">
        <f>Summary!G63</f>
        <v>166.72973410653466</v>
      </c>
      <c r="H17" s="601">
        <f>Summary!H63</f>
        <v>0.3323200905637706</v>
      </c>
      <c r="I17" s="602">
        <f>Summary!I63</f>
        <v>166.3974140159709</v>
      </c>
    </row>
    <row r="18" spans="1:9" ht="19.5" customHeight="1">
      <c r="A18" s="588" t="s">
        <v>13</v>
      </c>
      <c r="B18" s="591">
        <f>Summary!B64</f>
        <v>3443.4647097393326</v>
      </c>
      <c r="C18" s="597">
        <f>Summary!C64</f>
        <v>166.08216466717332</v>
      </c>
      <c r="D18" s="597">
        <f>Summary!D64</f>
        <v>0.30199199376458724</v>
      </c>
      <c r="E18" s="598">
        <f>Summary!E64</f>
        <v>165.78017267340874</v>
      </c>
      <c r="F18" s="594">
        <f>Summary!F64</f>
        <v>3379.7443709594063</v>
      </c>
      <c r="G18" s="601">
        <f>Summary!G64</f>
        <v>166.72973410653466</v>
      </c>
      <c r="H18" s="601">
        <f>Summary!H64</f>
        <v>0.33232009056377065</v>
      </c>
      <c r="I18" s="602">
        <f>Summary!I64</f>
        <v>166.3974140159709</v>
      </c>
    </row>
    <row r="19" spans="1:9" ht="19.5" customHeight="1">
      <c r="A19" s="588" t="s">
        <v>9</v>
      </c>
      <c r="B19" s="591">
        <f>Summary!B65</f>
        <v>10098.654916475009</v>
      </c>
      <c r="C19" s="597">
        <f>Summary!C65</f>
        <v>166.08216466717332</v>
      </c>
      <c r="D19" s="597">
        <f>Summary!D65</f>
        <v>0.30199199376458724</v>
      </c>
      <c r="E19" s="598">
        <f>Summary!E65</f>
        <v>165.78017267340874</v>
      </c>
      <c r="F19" s="594">
        <f>Summary!F65</f>
        <v>9854.236053315308</v>
      </c>
      <c r="G19" s="601">
        <f>Summary!G65</f>
        <v>166.72973410653466</v>
      </c>
      <c r="H19" s="601">
        <f>Summary!H65</f>
        <v>0.3323200905637706</v>
      </c>
      <c r="I19" s="602">
        <f>Summary!I65</f>
        <v>166.3974140159709</v>
      </c>
    </row>
    <row r="20" spans="1:9" ht="19.5" customHeight="1">
      <c r="A20" s="588" t="s">
        <v>14</v>
      </c>
      <c r="B20" s="591">
        <f>Summary!B66</f>
        <v>3407.4663854297414</v>
      </c>
      <c r="C20" s="597">
        <f>Summary!C66</f>
        <v>166.08216466717332</v>
      </c>
      <c r="D20" s="597">
        <f>Summary!D66</f>
        <v>0.30199199376458724</v>
      </c>
      <c r="E20" s="598">
        <f>Summary!E66</f>
        <v>165.78017267340874</v>
      </c>
      <c r="F20" s="594">
        <f>Summary!F66</f>
        <v>3334.872520699861</v>
      </c>
      <c r="G20" s="601">
        <f>Summary!G66</f>
        <v>166.72973410653466</v>
      </c>
      <c r="H20" s="601">
        <f>Summary!H66</f>
        <v>0.33232009056377065</v>
      </c>
      <c r="I20" s="602">
        <f>Summary!I66</f>
        <v>166.3974140159709</v>
      </c>
    </row>
    <row r="21" spans="1:9" ht="19.5" customHeight="1">
      <c r="A21" s="588" t="s">
        <v>15</v>
      </c>
      <c r="B21" s="591">
        <f>Summary!B67</f>
        <v>7709.26614042589</v>
      </c>
      <c r="C21" s="597">
        <f>Summary!C67</f>
        <v>166.08216466717332</v>
      </c>
      <c r="D21" s="597">
        <f>Summary!D67</f>
        <v>0.30199199376458724</v>
      </c>
      <c r="E21" s="598">
        <f>Summary!E67</f>
        <v>165.78017267340874</v>
      </c>
      <c r="F21" s="594">
        <f>Summary!F67</f>
        <v>7582.696977784699</v>
      </c>
      <c r="G21" s="601">
        <f>Summary!G67</f>
        <v>166.72973410653466</v>
      </c>
      <c r="H21" s="601">
        <f>Summary!H67</f>
        <v>0.3323200905637706</v>
      </c>
      <c r="I21" s="602">
        <f>Summary!I67</f>
        <v>166.3974140159709</v>
      </c>
    </row>
    <row r="22" spans="1:9" ht="19.5" customHeight="1">
      <c r="A22" s="588" t="s">
        <v>10</v>
      </c>
      <c r="B22" s="591">
        <f>Summary!B68</f>
        <v>8531.602861373114</v>
      </c>
      <c r="C22" s="597">
        <f>Summary!C68</f>
        <v>166.08216466717332</v>
      </c>
      <c r="D22" s="597">
        <f>Summary!D68</f>
        <v>0.30199199376458724</v>
      </c>
      <c r="E22" s="598">
        <f>Summary!E68</f>
        <v>165.78017267340874</v>
      </c>
      <c r="F22" s="594">
        <f>Summary!F68</f>
        <v>8391.547729571197</v>
      </c>
      <c r="G22" s="601">
        <f>Summary!G68</f>
        <v>166.72973410653466</v>
      </c>
      <c r="H22" s="601">
        <f>Summary!H68</f>
        <v>0.33232009056377065</v>
      </c>
      <c r="I22" s="602">
        <f>Summary!I68</f>
        <v>166.3974140159709</v>
      </c>
    </row>
    <row r="23" spans="1:9" ht="19.5" customHeight="1">
      <c r="A23" s="588" t="s">
        <v>8</v>
      </c>
      <c r="B23" s="591">
        <f>Summary!B69</f>
        <v>11951.443670784276</v>
      </c>
      <c r="C23" s="597">
        <f>Summary!C69</f>
        <v>166.08216466717332</v>
      </c>
      <c r="D23" s="597">
        <f>Summary!D69</f>
        <v>0.30199199376458724</v>
      </c>
      <c r="E23" s="598">
        <f>Summary!E69</f>
        <v>165.78017267340874</v>
      </c>
      <c r="F23" s="594">
        <f>Summary!F69</f>
        <v>11787.402350203523</v>
      </c>
      <c r="G23" s="601">
        <f>Summary!G69</f>
        <v>166.34350517922874</v>
      </c>
      <c r="H23" s="601">
        <f>Summary!H69</f>
        <v>0.1672578231755961</v>
      </c>
      <c r="I23" s="602">
        <f>Summary!I69</f>
        <v>166.17624735605315</v>
      </c>
    </row>
    <row r="24" spans="1:9" ht="19.5" customHeight="1" thickBot="1">
      <c r="A24" s="589" t="s">
        <v>18</v>
      </c>
      <c r="B24" s="592">
        <f>Summary!B70</f>
        <v>474.72790183273383</v>
      </c>
      <c r="C24" s="599">
        <f>Summary!C70</f>
        <v>166.08216466717332</v>
      </c>
      <c r="D24" s="599">
        <f>Summary!D70</f>
        <v>0.30199199376458724</v>
      </c>
      <c r="E24" s="600">
        <f>Summary!E70</f>
        <v>165.78017267340874</v>
      </c>
      <c r="F24" s="595">
        <f>Summary!F70</f>
        <v>463.0823795094074</v>
      </c>
      <c r="G24" s="603">
        <f>Summary!G70</f>
        <v>166.72973410653466</v>
      </c>
      <c r="H24" s="603">
        <f>Summary!H70</f>
        <v>0.3323200905637706</v>
      </c>
      <c r="I24" s="604">
        <f>Summary!I70</f>
        <v>166.3974140159709</v>
      </c>
    </row>
    <row r="25" spans="1:9" ht="19.5" customHeight="1" thickBot="1">
      <c r="A25" s="311"/>
      <c r="B25" s="585">
        <f>SUM(B6:B24)</f>
        <v>168630.63500000004</v>
      </c>
      <c r="C25" s="311"/>
      <c r="D25" s="311"/>
      <c r="E25" s="311"/>
      <c r="F25" s="586">
        <f>SUM(F6:F24)</f>
        <v>166000.84800000003</v>
      </c>
      <c r="G25" s="311"/>
      <c r="H25" s="311"/>
      <c r="I25" s="311"/>
    </row>
    <row r="27" ht="12.75">
      <c r="F27" s="6" t="s">
        <v>24</v>
      </c>
    </row>
  </sheetData>
  <sheetProtection/>
  <mergeCells count="4">
    <mergeCell ref="A1:I1"/>
    <mergeCell ref="A2:B2"/>
    <mergeCell ref="B4:E4"/>
    <mergeCell ref="F4:I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18" width="16.7109375" style="0" customWidth="1"/>
  </cols>
  <sheetData>
    <row r="1" spans="1:2" ht="18.75">
      <c r="A1" s="3" t="s">
        <v>269</v>
      </c>
      <c r="B1" s="19" t="s">
        <v>24</v>
      </c>
    </row>
    <row r="2" spans="1:3" ht="19.5" thickBot="1">
      <c r="A2" s="3"/>
      <c r="C2" s="68"/>
    </row>
    <row r="3" ht="13.5" thickBot="1">
      <c r="A3" s="679" t="s">
        <v>81</v>
      </c>
    </row>
    <row r="4" spans="1:14" ht="15.75" thickBot="1">
      <c r="A4" s="680"/>
      <c r="B4" s="232" t="s">
        <v>30</v>
      </c>
      <c r="C4" s="215" t="s">
        <v>41</v>
      </c>
      <c r="D4" s="215" t="s">
        <v>5</v>
      </c>
      <c r="E4" s="729" t="s">
        <v>8</v>
      </c>
      <c r="F4" s="730"/>
      <c r="G4" s="729" t="s">
        <v>42</v>
      </c>
      <c r="H4" s="730"/>
      <c r="I4" s="117"/>
      <c r="J4" s="117"/>
      <c r="K4" s="117"/>
      <c r="L4" s="117"/>
      <c r="M4" s="117"/>
      <c r="N4" s="117"/>
    </row>
    <row r="5" spans="1:15" ht="31.5">
      <c r="A5" s="175" t="s">
        <v>161</v>
      </c>
      <c r="B5" s="201" t="s">
        <v>175</v>
      </c>
      <c r="C5" s="202" t="s">
        <v>175</v>
      </c>
      <c r="D5" s="202" t="s">
        <v>175</v>
      </c>
      <c r="E5" s="202" t="s">
        <v>274</v>
      </c>
      <c r="F5" s="202" t="s">
        <v>273</v>
      </c>
      <c r="G5" s="202" t="s">
        <v>274</v>
      </c>
      <c r="H5" s="202" t="s">
        <v>273</v>
      </c>
      <c r="I5" s="117"/>
      <c r="J5" s="117"/>
      <c r="K5" s="117"/>
      <c r="L5" s="117"/>
      <c r="M5" s="117"/>
      <c r="N5" s="117"/>
      <c r="O5" s="41"/>
    </row>
    <row r="6" spans="1:15" ht="15">
      <c r="A6" s="203" t="s">
        <v>162</v>
      </c>
      <c r="B6" s="178"/>
      <c r="C6" s="179"/>
      <c r="D6" s="179"/>
      <c r="E6" s="179"/>
      <c r="F6" s="179"/>
      <c r="G6" s="179"/>
      <c r="H6" s="179"/>
      <c r="I6" s="117"/>
      <c r="J6" s="117"/>
      <c r="K6" s="117"/>
      <c r="L6" s="117"/>
      <c r="M6" s="117"/>
      <c r="N6" s="117"/>
      <c r="O6" s="41"/>
    </row>
    <row r="7" spans="1:15" ht="14.25">
      <c r="A7" s="176" t="s">
        <v>152</v>
      </c>
      <c r="B7" s="207">
        <v>160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118"/>
      <c r="J7" s="118"/>
      <c r="K7" s="118"/>
      <c r="L7" s="118"/>
      <c r="M7" s="118"/>
      <c r="N7" s="118"/>
      <c r="O7" s="41"/>
    </row>
    <row r="8" spans="1:15" ht="14.25">
      <c r="A8" s="176" t="s">
        <v>153</v>
      </c>
      <c r="B8" s="207">
        <v>106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118"/>
      <c r="J8" s="118"/>
      <c r="K8" s="118"/>
      <c r="L8" s="118"/>
      <c r="M8" s="118"/>
      <c r="N8" s="118"/>
      <c r="O8" s="41"/>
    </row>
    <row r="9" spans="1:15" ht="14.25">
      <c r="A9" s="204" t="s">
        <v>157</v>
      </c>
      <c r="B9" s="207">
        <v>117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118"/>
      <c r="J9" s="118"/>
      <c r="K9" s="118"/>
      <c r="L9" s="118"/>
      <c r="M9" s="118"/>
      <c r="N9" s="118"/>
      <c r="O9" s="41"/>
    </row>
    <row r="10" spans="1:15" ht="25.5">
      <c r="A10" s="176" t="s">
        <v>158</v>
      </c>
      <c r="B10" s="207">
        <v>0</v>
      </c>
      <c r="C10" s="208">
        <v>898</v>
      </c>
      <c r="D10" s="208">
        <v>0</v>
      </c>
      <c r="E10" s="208">
        <v>68.9</v>
      </c>
      <c r="F10" s="208">
        <v>0</v>
      </c>
      <c r="G10" s="208">
        <v>105.5</v>
      </c>
      <c r="H10" s="208">
        <v>0</v>
      </c>
      <c r="I10" s="118"/>
      <c r="J10" s="118"/>
      <c r="K10" s="118"/>
      <c r="L10" s="118"/>
      <c r="M10" s="118"/>
      <c r="N10" s="118"/>
      <c r="O10" s="41"/>
    </row>
    <row r="11" spans="1:15" ht="25.5">
      <c r="A11" s="205" t="s">
        <v>164</v>
      </c>
      <c r="B11" s="209">
        <f aca="true" t="shared" si="0" ref="B11:H11">SUM(B7:B10)</f>
        <v>383</v>
      </c>
      <c r="C11" s="210">
        <f t="shared" si="0"/>
        <v>898</v>
      </c>
      <c r="D11" s="210">
        <f t="shared" si="0"/>
        <v>0</v>
      </c>
      <c r="E11" s="210">
        <f t="shared" si="0"/>
        <v>68.9</v>
      </c>
      <c r="F11" s="210">
        <f t="shared" si="0"/>
        <v>0</v>
      </c>
      <c r="G11" s="210">
        <f t="shared" si="0"/>
        <v>105.5</v>
      </c>
      <c r="H11" s="210">
        <f t="shared" si="0"/>
        <v>0</v>
      </c>
      <c r="I11" s="118"/>
      <c r="J11" s="118"/>
      <c r="K11" s="118"/>
      <c r="L11" s="118"/>
      <c r="M11" s="118"/>
      <c r="N11" s="118"/>
      <c r="O11" s="41"/>
    </row>
    <row r="12" spans="1:15" ht="15">
      <c r="A12" s="203" t="s">
        <v>163</v>
      </c>
      <c r="B12" s="207" t="s">
        <v>24</v>
      </c>
      <c r="C12" s="208"/>
      <c r="D12" s="208"/>
      <c r="E12" s="208"/>
      <c r="F12" s="208"/>
      <c r="G12" s="208"/>
      <c r="H12" s="208"/>
      <c r="I12" s="119"/>
      <c r="J12" s="120"/>
      <c r="K12" s="119"/>
      <c r="L12" s="119"/>
      <c r="M12" s="119"/>
      <c r="N12" s="120"/>
      <c r="O12" s="41"/>
    </row>
    <row r="13" spans="1:15" ht="26.25">
      <c r="A13" s="176" t="s">
        <v>154</v>
      </c>
      <c r="B13" s="207">
        <v>16</v>
      </c>
      <c r="C13" s="208">
        <v>0</v>
      </c>
      <c r="D13" s="208">
        <v>237</v>
      </c>
      <c r="E13" s="208">
        <v>0</v>
      </c>
      <c r="F13" s="208">
        <v>0</v>
      </c>
      <c r="G13" s="208">
        <v>0</v>
      </c>
      <c r="H13" s="208">
        <v>0</v>
      </c>
      <c r="I13" s="119"/>
      <c r="J13" s="120"/>
      <c r="K13" s="119"/>
      <c r="L13" s="119"/>
      <c r="M13" s="119"/>
      <c r="N13" s="120"/>
      <c r="O13" s="41"/>
    </row>
    <row r="14" spans="1:15" ht="26.25">
      <c r="A14" s="176" t="s">
        <v>197</v>
      </c>
      <c r="B14" s="207">
        <v>0</v>
      </c>
      <c r="C14" s="208">
        <v>0</v>
      </c>
      <c r="D14" s="208">
        <v>0</v>
      </c>
      <c r="E14" s="208">
        <v>340.2</v>
      </c>
      <c r="F14" s="208">
        <v>0</v>
      </c>
      <c r="G14" s="208">
        <v>494.5</v>
      </c>
      <c r="H14" s="208">
        <v>0</v>
      </c>
      <c r="I14" s="119"/>
      <c r="J14" s="120"/>
      <c r="K14" s="119"/>
      <c r="L14" s="119"/>
      <c r="M14" s="119"/>
      <c r="N14" s="120"/>
      <c r="O14" s="41"/>
    </row>
    <row r="15" spans="1:15" ht="26.25">
      <c r="A15" s="176" t="s">
        <v>155</v>
      </c>
      <c r="B15" s="207">
        <v>0</v>
      </c>
      <c r="C15" s="208">
        <v>0</v>
      </c>
      <c r="D15" s="208">
        <v>0</v>
      </c>
      <c r="E15" s="208">
        <v>90.3</v>
      </c>
      <c r="F15" s="208">
        <v>0</v>
      </c>
      <c r="G15" s="208">
        <v>0</v>
      </c>
      <c r="H15" s="208">
        <v>0</v>
      </c>
      <c r="I15" s="119"/>
      <c r="J15" s="120"/>
      <c r="K15" s="119"/>
      <c r="L15" s="119"/>
      <c r="M15" s="119"/>
      <c r="N15" s="120"/>
      <c r="O15" s="41"/>
    </row>
    <row r="16" spans="1:15" ht="15">
      <c r="A16" s="205" t="s">
        <v>165</v>
      </c>
      <c r="B16" s="209">
        <f aca="true" t="shared" si="1" ref="B16:H16">SUM(B13:B15)</f>
        <v>16</v>
      </c>
      <c r="C16" s="210">
        <f t="shared" si="1"/>
        <v>0</v>
      </c>
      <c r="D16" s="210">
        <f t="shared" si="1"/>
        <v>237</v>
      </c>
      <c r="E16" s="210">
        <f t="shared" si="1"/>
        <v>430.5</v>
      </c>
      <c r="F16" s="210">
        <f t="shared" si="1"/>
        <v>0</v>
      </c>
      <c r="G16" s="210">
        <f t="shared" si="1"/>
        <v>494.5</v>
      </c>
      <c r="H16" s="210">
        <f t="shared" si="1"/>
        <v>0</v>
      </c>
      <c r="I16" s="119"/>
      <c r="J16" s="120"/>
      <c r="K16" s="119"/>
      <c r="L16" s="119"/>
      <c r="M16" s="119"/>
      <c r="N16" s="120"/>
      <c r="O16" s="41"/>
    </row>
    <row r="17" spans="1:15" ht="15">
      <c r="A17" s="180" t="s">
        <v>100</v>
      </c>
      <c r="B17" s="211"/>
      <c r="C17" s="212"/>
      <c r="D17" s="212"/>
      <c r="E17" s="212"/>
      <c r="F17" s="212"/>
      <c r="G17" s="212"/>
      <c r="H17" s="212"/>
      <c r="I17" s="119"/>
      <c r="J17" s="120"/>
      <c r="K17" s="119"/>
      <c r="L17" s="119"/>
      <c r="M17" s="119"/>
      <c r="N17" s="120"/>
      <c r="O17" s="41"/>
    </row>
    <row r="18" spans="1:15" ht="26.25">
      <c r="A18" s="176" t="s">
        <v>156</v>
      </c>
      <c r="B18" s="207">
        <v>159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119"/>
      <c r="J18" s="120"/>
      <c r="K18" s="119"/>
      <c r="L18" s="119"/>
      <c r="M18" s="119"/>
      <c r="N18" s="120"/>
      <c r="O18" s="41"/>
    </row>
    <row r="19" spans="1:15" ht="15">
      <c r="A19" s="206" t="s">
        <v>120</v>
      </c>
      <c r="B19" s="209">
        <f aca="true" t="shared" si="2" ref="B19:H19">SUM(B18)</f>
        <v>159</v>
      </c>
      <c r="C19" s="210">
        <f t="shared" si="2"/>
        <v>0</v>
      </c>
      <c r="D19" s="210">
        <f t="shared" si="2"/>
        <v>0</v>
      </c>
      <c r="E19" s="210">
        <f t="shared" si="2"/>
        <v>0</v>
      </c>
      <c r="F19" s="210">
        <f t="shared" si="2"/>
        <v>0</v>
      </c>
      <c r="G19" s="210">
        <f t="shared" si="2"/>
        <v>0</v>
      </c>
      <c r="H19" s="210">
        <f t="shared" si="2"/>
        <v>0</v>
      </c>
      <c r="I19" s="119"/>
      <c r="J19" s="120"/>
      <c r="K19" s="119"/>
      <c r="L19" s="119"/>
      <c r="M19" s="119"/>
      <c r="N19" s="120"/>
      <c r="O19" s="41"/>
    </row>
    <row r="20" spans="1:15" ht="15">
      <c r="A20" s="177"/>
      <c r="B20" s="207"/>
      <c r="C20" s="213"/>
      <c r="D20" s="213"/>
      <c r="E20" s="213"/>
      <c r="F20" s="213"/>
      <c r="G20" s="213"/>
      <c r="H20" s="213"/>
      <c r="I20" s="119"/>
      <c r="J20" s="120"/>
      <c r="K20" s="119"/>
      <c r="L20" s="119"/>
      <c r="M20" s="119"/>
      <c r="N20" s="120"/>
      <c r="O20" s="41"/>
    </row>
    <row r="21" spans="1:15" ht="15.75" thickBot="1">
      <c r="A21" s="220" t="s">
        <v>121</v>
      </c>
      <c r="B21" s="218">
        <f aca="true" t="shared" si="3" ref="B21:H21">B11+B16+B19</f>
        <v>558</v>
      </c>
      <c r="C21" s="219">
        <f t="shared" si="3"/>
        <v>898</v>
      </c>
      <c r="D21" s="214">
        <f t="shared" si="3"/>
        <v>237</v>
      </c>
      <c r="E21" s="214">
        <f t="shared" si="3"/>
        <v>499.4</v>
      </c>
      <c r="F21" s="214">
        <f t="shared" si="3"/>
        <v>0</v>
      </c>
      <c r="G21" s="214">
        <f t="shared" si="3"/>
        <v>600</v>
      </c>
      <c r="H21" s="214">
        <f t="shared" si="3"/>
        <v>0</v>
      </c>
      <c r="I21" s="122" t="s">
        <v>24</v>
      </c>
      <c r="J21" s="118"/>
      <c r="K21" s="122"/>
      <c r="L21" s="122"/>
      <c r="M21" s="122"/>
      <c r="N21" s="118"/>
      <c r="O21" s="41"/>
    </row>
    <row r="22" spans="1:18" ht="24.75" customHeight="1">
      <c r="A22" s="690" t="s">
        <v>183</v>
      </c>
      <c r="B22" s="691"/>
      <c r="C22" s="691"/>
      <c r="D22" s="692"/>
      <c r="E22" s="125"/>
      <c r="F22" s="125"/>
      <c r="G22" s="125"/>
      <c r="H22" s="125"/>
      <c r="I22" s="126"/>
      <c r="J22" s="125"/>
      <c r="K22" s="125"/>
      <c r="L22" s="125"/>
      <c r="M22" s="126"/>
      <c r="N22" s="41"/>
      <c r="O22" s="41"/>
      <c r="P22" s="41"/>
      <c r="Q22" s="41"/>
      <c r="R22" s="41"/>
    </row>
    <row r="23" spans="1:18" ht="15" customHeight="1">
      <c r="A23" s="727" t="s">
        <v>275</v>
      </c>
      <c r="B23" s="727"/>
      <c r="C23" s="727"/>
      <c r="D23" s="727"/>
      <c r="E23" s="125"/>
      <c r="F23" s="125"/>
      <c r="G23" s="125"/>
      <c r="H23" s="125"/>
      <c r="I23" s="126"/>
      <c r="J23" s="125"/>
      <c r="K23" s="125"/>
      <c r="L23" s="125"/>
      <c r="M23" s="126"/>
      <c r="N23" s="41"/>
      <c r="O23" s="41"/>
      <c r="P23" s="41"/>
      <c r="Q23" s="41"/>
      <c r="R23" s="41"/>
    </row>
    <row r="24" spans="1:18" ht="15.75" thickBot="1">
      <c r="A24" s="121"/>
      <c r="B24" s="123"/>
      <c r="C24" s="123"/>
      <c r="D24" s="124"/>
      <c r="E24" s="125"/>
      <c r="F24" s="125"/>
      <c r="G24" s="125"/>
      <c r="H24" s="125"/>
      <c r="I24" s="126"/>
      <c r="J24" s="125"/>
      <c r="K24" s="125"/>
      <c r="L24" s="125"/>
      <c r="M24" s="126"/>
      <c r="N24" s="41"/>
      <c r="O24" s="41"/>
      <c r="P24" s="41"/>
      <c r="Q24" s="41"/>
      <c r="R24" s="41"/>
    </row>
    <row r="25" spans="1:13" ht="32.25" thickBot="1">
      <c r="A25" s="128" t="s">
        <v>166</v>
      </c>
      <c r="B25" s="197" t="s">
        <v>24</v>
      </c>
      <c r="C25" s="197" t="s">
        <v>24</v>
      </c>
      <c r="D25" s="40"/>
      <c r="E25" s="125"/>
      <c r="F25" s="125"/>
      <c r="G25" s="125"/>
      <c r="H25" s="125"/>
      <c r="I25" s="126"/>
      <c r="J25" s="125"/>
      <c r="K25" s="125"/>
      <c r="L25" s="125"/>
      <c r="M25" s="126"/>
    </row>
    <row r="26" spans="1:13" ht="63.75">
      <c r="A26" s="222" t="s">
        <v>78</v>
      </c>
      <c r="B26" s="221" t="s">
        <v>162</v>
      </c>
      <c r="C26" s="216" t="s">
        <v>167</v>
      </c>
      <c r="D26" s="216" t="s">
        <v>168</v>
      </c>
      <c r="E26" s="216" t="s">
        <v>169</v>
      </c>
      <c r="F26" s="125"/>
      <c r="G26" s="482"/>
      <c r="H26" s="483"/>
      <c r="I26" s="484"/>
      <c r="J26" s="484"/>
      <c r="K26" s="484"/>
      <c r="L26" s="125"/>
      <c r="M26" s="126"/>
    </row>
    <row r="27" spans="1:13" ht="14.25">
      <c r="A27" s="51" t="s">
        <v>16</v>
      </c>
      <c r="B27" s="61">
        <v>0.0174</v>
      </c>
      <c r="C27" s="61">
        <v>0.0896</v>
      </c>
      <c r="D27" s="61">
        <v>0.0021</v>
      </c>
      <c r="E27" s="61">
        <v>0</v>
      </c>
      <c r="F27" s="125"/>
      <c r="G27" s="10"/>
      <c r="H27" s="447"/>
      <c r="I27" s="447"/>
      <c r="J27" s="447"/>
      <c r="K27" s="447"/>
      <c r="L27" s="125"/>
      <c r="M27" s="126"/>
    </row>
    <row r="28" spans="1:13" ht="14.25">
      <c r="A28" s="51" t="s">
        <v>32</v>
      </c>
      <c r="B28" s="61">
        <v>0.1442</v>
      </c>
      <c r="C28" s="61">
        <v>0</v>
      </c>
      <c r="D28" s="61">
        <v>0</v>
      </c>
      <c r="E28" s="61">
        <v>0</v>
      </c>
      <c r="F28" s="125"/>
      <c r="G28" s="10"/>
      <c r="H28" s="447"/>
      <c r="I28" s="447"/>
      <c r="J28" s="447"/>
      <c r="K28" s="447"/>
      <c r="L28" s="125"/>
      <c r="M28" s="126"/>
    </row>
    <row r="29" spans="1:13" ht="14.25">
      <c r="A29" s="51" t="s">
        <v>19</v>
      </c>
      <c r="B29" s="61">
        <v>0.0527</v>
      </c>
      <c r="C29" s="61">
        <v>0</v>
      </c>
      <c r="D29" s="61">
        <v>0</v>
      </c>
      <c r="E29" s="61">
        <v>0</v>
      </c>
      <c r="F29" s="125"/>
      <c r="G29" s="10"/>
      <c r="H29" s="447"/>
      <c r="I29" s="447"/>
      <c r="J29" s="447"/>
      <c r="K29" s="447"/>
      <c r="L29" s="125"/>
      <c r="M29" s="126"/>
    </row>
    <row r="30" spans="1:18" ht="12.75">
      <c r="A30" s="51" t="s">
        <v>51</v>
      </c>
      <c r="B30" s="61">
        <v>0.0836</v>
      </c>
      <c r="C30" s="61">
        <v>0</v>
      </c>
      <c r="D30" s="61">
        <v>0</v>
      </c>
      <c r="E30" s="61">
        <v>0</v>
      </c>
      <c r="F30" s="41"/>
      <c r="G30" s="10"/>
      <c r="H30" s="447"/>
      <c r="I30" s="447"/>
      <c r="J30" s="447"/>
      <c r="K30" s="447"/>
      <c r="L30" s="41"/>
      <c r="M30" s="41"/>
      <c r="N30" s="41"/>
      <c r="O30" s="41"/>
      <c r="P30" s="41"/>
      <c r="Q30" s="41"/>
      <c r="R30" s="41"/>
    </row>
    <row r="31" spans="1:18" ht="12.75">
      <c r="A31" s="51" t="s">
        <v>11</v>
      </c>
      <c r="B31" s="61">
        <v>0.0433</v>
      </c>
      <c r="C31" s="61">
        <v>0</v>
      </c>
      <c r="D31" s="61">
        <v>0.0088</v>
      </c>
      <c r="E31" s="61">
        <v>0</v>
      </c>
      <c r="F31" s="41"/>
      <c r="G31" s="10"/>
      <c r="H31" s="447"/>
      <c r="I31" s="447"/>
      <c r="J31" s="447"/>
      <c r="K31" s="447"/>
      <c r="L31" s="41"/>
      <c r="M31" s="41"/>
      <c r="N31" s="41"/>
      <c r="O31" s="41"/>
      <c r="P31" s="41"/>
      <c r="Q31" s="41"/>
      <c r="R31" s="41"/>
    </row>
    <row r="32" spans="1:18" ht="12.75">
      <c r="A32" s="51" t="s">
        <v>20</v>
      </c>
      <c r="B32" s="61">
        <v>0.1459</v>
      </c>
      <c r="C32" s="61">
        <v>0</v>
      </c>
      <c r="D32" s="61">
        <v>0.0211</v>
      </c>
      <c r="E32" s="61">
        <v>0</v>
      </c>
      <c r="F32" s="41"/>
      <c r="G32" s="10"/>
      <c r="H32" s="447"/>
      <c r="I32" s="447"/>
      <c r="J32" s="447"/>
      <c r="K32" s="447"/>
      <c r="L32" s="41"/>
      <c r="M32" s="41"/>
      <c r="N32" s="41"/>
      <c r="O32" s="41"/>
      <c r="P32" s="41"/>
      <c r="Q32" s="41"/>
      <c r="R32" s="41"/>
    </row>
    <row r="33" spans="1:13" ht="12.75">
      <c r="A33" s="51" t="s">
        <v>21</v>
      </c>
      <c r="B33" s="61">
        <v>0.0216</v>
      </c>
      <c r="C33" s="61">
        <v>0</v>
      </c>
      <c r="D33" s="61">
        <v>0.0012</v>
      </c>
      <c r="E33" s="61">
        <v>0</v>
      </c>
      <c r="F33" s="41"/>
      <c r="G33" s="10"/>
      <c r="H33" s="447"/>
      <c r="I33" s="447"/>
      <c r="J33" s="447"/>
      <c r="K33" s="447"/>
      <c r="L33" s="41"/>
      <c r="M33" s="41"/>
    </row>
    <row r="34" spans="1:13" ht="12.75">
      <c r="A34" s="51" t="s">
        <v>66</v>
      </c>
      <c r="B34" s="61">
        <v>0.0337</v>
      </c>
      <c r="C34" s="61">
        <v>0</v>
      </c>
      <c r="D34" s="61">
        <v>0</v>
      </c>
      <c r="E34" s="61">
        <v>0</v>
      </c>
      <c r="F34" s="41"/>
      <c r="G34" s="10"/>
      <c r="H34" s="447"/>
      <c r="I34" s="447"/>
      <c r="J34" s="447"/>
      <c r="K34" s="447"/>
      <c r="L34" s="41"/>
      <c r="M34" s="41"/>
    </row>
    <row r="35" spans="1:13" ht="12.75">
      <c r="A35" s="51" t="s">
        <v>50</v>
      </c>
      <c r="B35" s="61">
        <v>0.0189</v>
      </c>
      <c r="C35" s="61">
        <v>0</v>
      </c>
      <c r="D35" s="61">
        <v>0</v>
      </c>
      <c r="E35" s="61">
        <v>0</v>
      </c>
      <c r="F35" s="41"/>
      <c r="G35" s="10"/>
      <c r="H35" s="447"/>
      <c r="I35" s="447"/>
      <c r="J35" s="447"/>
      <c r="K35" s="447"/>
      <c r="L35" s="41"/>
      <c r="M35" s="41"/>
    </row>
    <row r="36" spans="1:13" ht="12.75">
      <c r="A36" s="51" t="s">
        <v>33</v>
      </c>
      <c r="B36" s="61">
        <v>0.119</v>
      </c>
      <c r="C36" s="61">
        <v>0</v>
      </c>
      <c r="D36" s="61">
        <v>0</v>
      </c>
      <c r="E36" s="61">
        <v>0</v>
      </c>
      <c r="F36" s="41"/>
      <c r="G36" s="10"/>
      <c r="H36" s="447"/>
      <c r="I36" s="447"/>
      <c r="J36" s="447"/>
      <c r="K36" s="447"/>
      <c r="L36" s="41"/>
      <c r="M36" s="41"/>
    </row>
    <row r="37" spans="1:13" ht="12.75">
      <c r="A37" s="51" t="s">
        <v>17</v>
      </c>
      <c r="B37" s="61">
        <v>0.0254</v>
      </c>
      <c r="C37" s="61">
        <v>0.1677</v>
      </c>
      <c r="D37" s="61">
        <v>0</v>
      </c>
      <c r="E37" s="61">
        <v>0</v>
      </c>
      <c r="F37" s="41"/>
      <c r="G37" s="10"/>
      <c r="H37" s="447"/>
      <c r="I37" s="447"/>
      <c r="J37" s="447"/>
      <c r="K37" s="447"/>
      <c r="L37" s="41"/>
      <c r="M37" s="41"/>
    </row>
    <row r="38" spans="1:13" ht="12.75">
      <c r="A38" s="51" t="s">
        <v>12</v>
      </c>
      <c r="B38" s="61">
        <v>0.0385</v>
      </c>
      <c r="C38" s="61">
        <v>0.0959</v>
      </c>
      <c r="D38" s="61">
        <v>0.0106</v>
      </c>
      <c r="E38" s="61">
        <v>0.1282</v>
      </c>
      <c r="F38" s="41"/>
      <c r="G38" s="12"/>
      <c r="H38" s="447"/>
      <c r="I38" s="447"/>
      <c r="J38" s="447"/>
      <c r="K38" s="447"/>
      <c r="L38" s="41"/>
      <c r="M38" s="41"/>
    </row>
    <row r="39" spans="1:13" ht="12.75">
      <c r="A39" s="51" t="s">
        <v>13</v>
      </c>
      <c r="B39" s="61">
        <v>0.0188</v>
      </c>
      <c r="C39" s="61">
        <v>0.0147</v>
      </c>
      <c r="D39" s="61">
        <v>0</v>
      </c>
      <c r="E39" s="61">
        <v>0</v>
      </c>
      <c r="F39" s="41"/>
      <c r="G39" s="10"/>
      <c r="H39" s="447"/>
      <c r="I39" s="447"/>
      <c r="J39" s="447"/>
      <c r="K39" s="447"/>
      <c r="L39" s="41"/>
      <c r="M39" s="41"/>
    </row>
    <row r="40" spans="1:13" ht="12.75">
      <c r="A40" s="51" t="s">
        <v>9</v>
      </c>
      <c r="B40" s="61">
        <v>0.0529</v>
      </c>
      <c r="C40" s="61">
        <v>0.3064</v>
      </c>
      <c r="D40" s="61">
        <v>0</v>
      </c>
      <c r="E40" s="61">
        <v>0.5108</v>
      </c>
      <c r="F40" s="41"/>
      <c r="G40" s="10"/>
      <c r="H40" s="447"/>
      <c r="I40" s="447"/>
      <c r="J40" s="447"/>
      <c r="K40" s="447"/>
      <c r="L40" s="41"/>
      <c r="M40" s="41"/>
    </row>
    <row r="41" spans="1:13" ht="12.75">
      <c r="A41" s="51" t="s">
        <v>14</v>
      </c>
      <c r="B41" s="61">
        <v>0.018</v>
      </c>
      <c r="C41" s="61">
        <v>0</v>
      </c>
      <c r="D41" s="61">
        <v>0.027</v>
      </c>
      <c r="E41" s="61">
        <v>0</v>
      </c>
      <c r="F41" s="41"/>
      <c r="G41" s="10"/>
      <c r="H41" s="447"/>
      <c r="I41" s="447"/>
      <c r="J41" s="447"/>
      <c r="K41" s="447"/>
      <c r="L41" s="41"/>
      <c r="M41" s="41"/>
    </row>
    <row r="42" spans="1:13" ht="12.75">
      <c r="A42" s="51" t="s">
        <v>15</v>
      </c>
      <c r="B42" s="61">
        <v>0.0416</v>
      </c>
      <c r="C42" s="61">
        <v>0</v>
      </c>
      <c r="D42" s="61">
        <v>0.0095</v>
      </c>
      <c r="E42" s="61">
        <v>0.0057</v>
      </c>
      <c r="F42" s="41"/>
      <c r="G42" s="10"/>
      <c r="H42" s="447"/>
      <c r="I42" s="447"/>
      <c r="J42" s="447"/>
      <c r="K42" s="447"/>
      <c r="L42" s="41"/>
      <c r="M42" s="41"/>
    </row>
    <row r="43" spans="1:13" ht="12.75">
      <c r="A43" s="51" t="s">
        <v>10</v>
      </c>
      <c r="B43" s="61">
        <v>0.0456</v>
      </c>
      <c r="C43" s="61">
        <v>0.1633</v>
      </c>
      <c r="D43" s="61">
        <v>0</v>
      </c>
      <c r="E43" s="61">
        <v>0</v>
      </c>
      <c r="F43" s="41"/>
      <c r="G43" s="10"/>
      <c r="H43" s="447"/>
      <c r="I43" s="447"/>
      <c r="J43" s="447"/>
      <c r="K43" s="447"/>
      <c r="L43" s="41"/>
      <c r="M43" s="41"/>
    </row>
    <row r="44" spans="1:13" ht="12.75">
      <c r="A44" s="51" t="s">
        <v>8</v>
      </c>
      <c r="B44" s="61">
        <v>0.0647</v>
      </c>
      <c r="C44" s="61">
        <v>0.14</v>
      </c>
      <c r="D44" s="61">
        <v>0.6381</v>
      </c>
      <c r="E44" s="61">
        <v>0.3146</v>
      </c>
      <c r="F44" s="41"/>
      <c r="G44" s="10"/>
      <c r="H44" s="447"/>
      <c r="I44" s="447"/>
      <c r="J44" s="447"/>
      <c r="K44" s="447"/>
      <c r="L44" s="41"/>
      <c r="M44" s="41"/>
    </row>
    <row r="45" spans="1:13" ht="12.75">
      <c r="A45" s="51" t="s">
        <v>18</v>
      </c>
      <c r="B45" s="61">
        <v>0.0026</v>
      </c>
      <c r="C45" s="61">
        <v>0.0052</v>
      </c>
      <c r="D45" s="61">
        <v>0.0253</v>
      </c>
      <c r="E45" s="61">
        <v>0.0125</v>
      </c>
      <c r="F45" s="41"/>
      <c r="G45" s="10"/>
      <c r="H45" s="447"/>
      <c r="I45" s="447"/>
      <c r="J45" s="447"/>
      <c r="K45" s="447"/>
      <c r="L45" s="41"/>
      <c r="M45" s="41"/>
    </row>
    <row r="46" spans="1:18" ht="12.75">
      <c r="A46" s="51" t="s">
        <v>184</v>
      </c>
      <c r="B46" s="61">
        <v>0.0056</v>
      </c>
      <c r="C46" s="61">
        <v>0.0049</v>
      </c>
      <c r="D46" s="61">
        <v>0.0905</v>
      </c>
      <c r="E46" s="61">
        <v>0</v>
      </c>
      <c r="F46" s="41"/>
      <c r="G46" s="10"/>
      <c r="H46" s="447"/>
      <c r="I46" s="447"/>
      <c r="J46" s="447"/>
      <c r="K46" s="447"/>
      <c r="L46" s="41"/>
      <c r="M46" s="41"/>
      <c r="N46" s="41"/>
      <c r="O46" s="41"/>
      <c r="P46" s="41"/>
      <c r="Q46" s="41"/>
      <c r="R46" s="41"/>
    </row>
    <row r="47" spans="1:11" ht="12.75">
      <c r="A47" s="51" t="s">
        <v>185</v>
      </c>
      <c r="B47" s="61">
        <v>0.0041</v>
      </c>
      <c r="C47" s="61">
        <v>0.0094</v>
      </c>
      <c r="D47" s="61">
        <v>0.0006</v>
      </c>
      <c r="E47" s="61">
        <v>0.0118</v>
      </c>
      <c r="G47" s="10"/>
      <c r="H47" s="447"/>
      <c r="I47" s="447"/>
      <c r="J47" s="447"/>
      <c r="K47" s="447"/>
    </row>
    <row r="48" spans="1:11" ht="12.75">
      <c r="A48" s="51" t="s">
        <v>159</v>
      </c>
      <c r="B48" s="61">
        <v>0.0019</v>
      </c>
      <c r="C48" s="61">
        <v>0.0029</v>
      </c>
      <c r="D48" s="61">
        <v>0.0192</v>
      </c>
      <c r="E48" s="61">
        <v>0.0085</v>
      </c>
      <c r="G48" s="10"/>
      <c r="H48" s="447"/>
      <c r="I48" s="447"/>
      <c r="J48" s="447"/>
      <c r="K48" s="447"/>
    </row>
    <row r="49" spans="1:11" ht="12.75">
      <c r="A49" s="51" t="s">
        <v>160</v>
      </c>
      <c r="B49" s="61">
        <v>0</v>
      </c>
      <c r="C49" s="61">
        <v>0</v>
      </c>
      <c r="D49" s="61">
        <v>0.146</v>
      </c>
      <c r="E49" s="61">
        <v>0.0079</v>
      </c>
      <c r="G49" s="10"/>
      <c r="H49" s="447"/>
      <c r="I49" s="447"/>
      <c r="J49" s="447"/>
      <c r="K49" s="447"/>
    </row>
    <row r="50" spans="1:11" ht="12.75">
      <c r="A50" s="141"/>
      <c r="B50" s="217">
        <f>SUM(B27:B49)</f>
        <v>0.9999999999999999</v>
      </c>
      <c r="C50" s="217">
        <f>SUM(C27:C49)</f>
        <v>0.9999999999999999</v>
      </c>
      <c r="D50" s="217">
        <f>SUM(D27:D49)</f>
        <v>1</v>
      </c>
      <c r="E50" s="217">
        <f>SUM(E27:E49)</f>
        <v>1</v>
      </c>
      <c r="G50" s="10"/>
      <c r="H50" s="447"/>
      <c r="I50" s="447"/>
      <c r="J50" s="447"/>
      <c r="K50" s="447"/>
    </row>
    <row r="51" spans="1:11" ht="24.75" customHeight="1">
      <c r="A51" s="664" t="s">
        <v>272</v>
      </c>
      <c r="B51" s="664"/>
      <c r="C51" s="664"/>
      <c r="D51" s="127"/>
      <c r="G51" s="485"/>
      <c r="H51" s="127"/>
      <c r="I51" s="127"/>
      <c r="J51" s="127"/>
      <c r="K51" s="127"/>
    </row>
    <row r="52" spans="1:11" ht="12.75">
      <c r="A52" s="12"/>
      <c r="B52" s="127"/>
      <c r="C52" s="127"/>
      <c r="D52" s="127"/>
      <c r="G52" s="728"/>
      <c r="H52" s="728"/>
      <c r="I52" s="728"/>
      <c r="J52" s="127"/>
      <c r="K52" s="41"/>
    </row>
    <row r="53" spans="1:4" ht="13.5" thickBot="1">
      <c r="A53" s="12"/>
      <c r="B53" s="127"/>
      <c r="C53" s="127"/>
      <c r="D53" s="127"/>
    </row>
    <row r="54" spans="1:6" ht="15.75" thickBot="1">
      <c r="A54" s="687" t="s">
        <v>80</v>
      </c>
      <c r="B54" s="123"/>
      <c r="C54" s="123"/>
      <c r="D54" s="124"/>
      <c r="F54" s="19" t="s">
        <v>24</v>
      </c>
    </row>
    <row r="55" spans="1:18" ht="15.75" thickBot="1">
      <c r="A55" s="688"/>
      <c r="B55" s="681" t="s">
        <v>30</v>
      </c>
      <c r="C55" s="682"/>
      <c r="D55" s="682"/>
      <c r="E55" s="683"/>
      <c r="F55" s="693" t="s">
        <v>41</v>
      </c>
      <c r="G55" s="694"/>
      <c r="H55" s="681" t="s">
        <v>5</v>
      </c>
      <c r="I55" s="683"/>
      <c r="J55" s="681" t="s">
        <v>8</v>
      </c>
      <c r="K55" s="682"/>
      <c r="L55" s="682"/>
      <c r="M55" s="682"/>
      <c r="N55" s="683"/>
      <c r="O55" s="681" t="s">
        <v>42</v>
      </c>
      <c r="P55" s="682"/>
      <c r="Q55" s="682"/>
      <c r="R55" s="683"/>
    </row>
    <row r="56" spans="1:18" ht="26.25" thickBot="1">
      <c r="A56" s="689"/>
      <c r="B56" s="684" t="s">
        <v>49</v>
      </c>
      <c r="C56" s="685"/>
      <c r="D56" s="686"/>
      <c r="E56" s="294">
        <f>'1st IA CTRs'!F16</f>
        <v>31.00992591156472</v>
      </c>
      <c r="F56" s="298" t="s">
        <v>49</v>
      </c>
      <c r="G56" s="294">
        <f>'1st IA CTRs'!H16</f>
        <v>0</v>
      </c>
      <c r="H56" s="298" t="s">
        <v>49</v>
      </c>
      <c r="I56" s="294">
        <f>'1st IA CTRs'!J16</f>
        <v>0</v>
      </c>
      <c r="J56" s="684" t="s">
        <v>49</v>
      </c>
      <c r="K56" s="685"/>
      <c r="L56" s="685"/>
      <c r="M56" s="686"/>
      <c r="N56" s="294">
        <f>'1st IA Load Pricing Results'!D26</f>
        <v>-0.38622892730591646</v>
      </c>
      <c r="O56" s="684" t="s">
        <v>49</v>
      </c>
      <c r="P56" s="685"/>
      <c r="Q56" s="686"/>
      <c r="R56" s="294">
        <f>'1st IA Load Pricing Results'!D27</f>
        <v>-0.38622892730591646</v>
      </c>
    </row>
    <row r="57" spans="1:18" ht="76.5">
      <c r="A57" s="292" t="s">
        <v>78</v>
      </c>
      <c r="B57" s="295" t="s">
        <v>170</v>
      </c>
      <c r="C57" s="216" t="s">
        <v>171</v>
      </c>
      <c r="D57" s="223" t="s">
        <v>79</v>
      </c>
      <c r="E57" s="225" t="s">
        <v>97</v>
      </c>
      <c r="F57" s="295" t="s">
        <v>170</v>
      </c>
      <c r="G57" s="225" t="s">
        <v>97</v>
      </c>
      <c r="H57" s="299" t="s">
        <v>171</v>
      </c>
      <c r="I57" s="225" t="s">
        <v>97</v>
      </c>
      <c r="J57" s="295" t="s">
        <v>170</v>
      </c>
      <c r="K57" s="216" t="s">
        <v>172</v>
      </c>
      <c r="L57" s="216" t="s">
        <v>173</v>
      </c>
      <c r="M57" s="223" t="s">
        <v>79</v>
      </c>
      <c r="N57" s="225" t="s">
        <v>97</v>
      </c>
      <c r="O57" s="295" t="s">
        <v>170</v>
      </c>
      <c r="P57" s="216" t="s">
        <v>172</v>
      </c>
      <c r="Q57" s="223" t="s">
        <v>79</v>
      </c>
      <c r="R57" s="225" t="s">
        <v>97</v>
      </c>
    </row>
    <row r="58" spans="1:18" ht="12.75">
      <c r="A58" s="293" t="s">
        <v>16</v>
      </c>
      <c r="B58" s="257">
        <f>B27*$B$11</f>
        <v>6.664199999999999</v>
      </c>
      <c r="C58" s="59">
        <f>C27*$B$13</f>
        <v>1.4336</v>
      </c>
      <c r="D58" s="59">
        <f>B58+C58</f>
        <v>8.0978</v>
      </c>
      <c r="E58" s="113">
        <f>D58*$E$56</f>
        <v>251.1121780466688</v>
      </c>
      <c r="F58" s="257">
        <f>B27*$C$11</f>
        <v>15.6252</v>
      </c>
      <c r="G58" s="261">
        <f>F58*$G$56</f>
        <v>0</v>
      </c>
      <c r="H58" s="257">
        <f>C27*$D$13</f>
        <v>21.2352</v>
      </c>
      <c r="I58" s="261">
        <f>H58*$I$56</f>
        <v>0</v>
      </c>
      <c r="J58" s="257">
        <f>B27*$F$11</f>
        <v>0</v>
      </c>
      <c r="K58" s="59">
        <f>D27*$F$14</f>
        <v>0</v>
      </c>
      <c r="L58" s="59">
        <f>E27*$F$15</f>
        <v>0</v>
      </c>
      <c r="M58" s="59">
        <f>J58+K58+L58</f>
        <v>0</v>
      </c>
      <c r="N58" s="113">
        <f>M58*$N$56</f>
        <v>0</v>
      </c>
      <c r="O58" s="257">
        <f>B27*$H$10</f>
        <v>0</v>
      </c>
      <c r="P58" s="59">
        <f>D27*$H$14</f>
        <v>0</v>
      </c>
      <c r="Q58" s="59">
        <f>O58+P58</f>
        <v>0</v>
      </c>
      <c r="R58" s="113">
        <f>Q58*$R$56</f>
        <v>0</v>
      </c>
    </row>
    <row r="59" spans="1:18" ht="12.75">
      <c r="A59" s="293" t="s">
        <v>32</v>
      </c>
      <c r="B59" s="257">
        <f aca="true" t="shared" si="4" ref="B59:B79">B28*$B$11</f>
        <v>55.2286</v>
      </c>
      <c r="C59" s="59">
        <f aca="true" t="shared" si="5" ref="C59:C79">C28*$B$13</f>
        <v>0</v>
      </c>
      <c r="D59" s="59">
        <f>B59+C59</f>
        <v>55.2286</v>
      </c>
      <c r="E59" s="113">
        <f>D59*$E$56</f>
        <v>1712.6347941994434</v>
      </c>
      <c r="F59" s="257">
        <f aca="true" t="shared" si="6" ref="F59:F79">B28*$C$11</f>
        <v>129.4916</v>
      </c>
      <c r="G59" s="261">
        <f aca="true" t="shared" si="7" ref="G59:G80">F59*$G$56</f>
        <v>0</v>
      </c>
      <c r="H59" s="257">
        <f aca="true" t="shared" si="8" ref="H59:H80">C28*$D$13</f>
        <v>0</v>
      </c>
      <c r="I59" s="261">
        <f aca="true" t="shared" si="9" ref="I59:I80">H59*$I$56</f>
        <v>0</v>
      </c>
      <c r="J59" s="257">
        <f aca="true" t="shared" si="10" ref="J59:J80">B28*$F$11</f>
        <v>0</v>
      </c>
      <c r="K59" s="59">
        <f aca="true" t="shared" si="11" ref="K59:K80">D28*$F$14</f>
        <v>0</v>
      </c>
      <c r="L59" s="59">
        <f aca="true" t="shared" si="12" ref="L59:L80">E28*$F$15</f>
        <v>0</v>
      </c>
      <c r="M59" s="59">
        <f aca="true" t="shared" si="13" ref="M59:M80">J59+K59+L59</f>
        <v>0</v>
      </c>
      <c r="N59" s="113">
        <f aca="true" t="shared" si="14" ref="N59:N80">M59*$N$56</f>
        <v>0</v>
      </c>
      <c r="O59" s="257">
        <f aca="true" t="shared" si="15" ref="O59:O80">B28*$H$10</f>
        <v>0</v>
      </c>
      <c r="P59" s="59">
        <f aca="true" t="shared" si="16" ref="P59:P80">D28*$H$14</f>
        <v>0</v>
      </c>
      <c r="Q59" s="59">
        <f aca="true" t="shared" si="17" ref="Q59:Q79">O59+P59</f>
        <v>0</v>
      </c>
      <c r="R59" s="113">
        <f aca="true" t="shared" si="18" ref="R59:R80">Q59*$R$56</f>
        <v>0</v>
      </c>
    </row>
    <row r="60" spans="1:18" ht="12.75">
      <c r="A60" s="293" t="s">
        <v>19</v>
      </c>
      <c r="B60" s="257">
        <f t="shared" si="4"/>
        <v>20.184099999999997</v>
      </c>
      <c r="C60" s="59">
        <f t="shared" si="5"/>
        <v>0</v>
      </c>
      <c r="D60" s="59">
        <f>B60+C60</f>
        <v>20.184099999999997</v>
      </c>
      <c r="E60" s="113">
        <f aca="true" t="shared" si="19" ref="E60:E79">D60*$E$56</f>
        <v>625.9074455916134</v>
      </c>
      <c r="F60" s="257">
        <f t="shared" si="6"/>
        <v>47.3246</v>
      </c>
      <c r="G60" s="261">
        <f t="shared" si="7"/>
        <v>0</v>
      </c>
      <c r="H60" s="257">
        <f t="shared" si="8"/>
        <v>0</v>
      </c>
      <c r="I60" s="261">
        <f t="shared" si="9"/>
        <v>0</v>
      </c>
      <c r="J60" s="257">
        <f t="shared" si="10"/>
        <v>0</v>
      </c>
      <c r="K60" s="59">
        <f t="shared" si="11"/>
        <v>0</v>
      </c>
      <c r="L60" s="59">
        <f t="shared" si="12"/>
        <v>0</v>
      </c>
      <c r="M60" s="59">
        <f t="shared" si="13"/>
        <v>0</v>
      </c>
      <c r="N60" s="113">
        <f t="shared" si="14"/>
        <v>0</v>
      </c>
      <c r="O60" s="257">
        <f t="shared" si="15"/>
        <v>0</v>
      </c>
      <c r="P60" s="59">
        <f t="shared" si="16"/>
        <v>0</v>
      </c>
      <c r="Q60" s="59">
        <f t="shared" si="17"/>
        <v>0</v>
      </c>
      <c r="R60" s="113">
        <f t="shared" si="18"/>
        <v>0</v>
      </c>
    </row>
    <row r="61" spans="1:18" ht="12.75">
      <c r="A61" s="293" t="s">
        <v>51</v>
      </c>
      <c r="B61" s="257">
        <f t="shared" si="4"/>
        <v>32.0188</v>
      </c>
      <c r="C61" s="59">
        <f t="shared" si="5"/>
        <v>0</v>
      </c>
      <c r="D61" s="59">
        <f>B61+C61</f>
        <v>32.0188</v>
      </c>
      <c r="E61" s="113">
        <f t="shared" si="19"/>
        <v>992.9006157772085</v>
      </c>
      <c r="F61" s="257">
        <f t="shared" si="6"/>
        <v>75.0728</v>
      </c>
      <c r="G61" s="261">
        <f t="shared" si="7"/>
        <v>0</v>
      </c>
      <c r="H61" s="257">
        <f t="shared" si="8"/>
        <v>0</v>
      </c>
      <c r="I61" s="261">
        <f t="shared" si="9"/>
        <v>0</v>
      </c>
      <c r="J61" s="257">
        <f t="shared" si="10"/>
        <v>0</v>
      </c>
      <c r="K61" s="59">
        <f t="shared" si="11"/>
        <v>0</v>
      </c>
      <c r="L61" s="59">
        <f t="shared" si="12"/>
        <v>0</v>
      </c>
      <c r="M61" s="59">
        <f t="shared" si="13"/>
        <v>0</v>
      </c>
      <c r="N61" s="113">
        <f t="shared" si="14"/>
        <v>0</v>
      </c>
      <c r="O61" s="257">
        <f t="shared" si="15"/>
        <v>0</v>
      </c>
      <c r="P61" s="59">
        <f t="shared" si="16"/>
        <v>0</v>
      </c>
      <c r="Q61" s="59">
        <f t="shared" si="17"/>
        <v>0</v>
      </c>
      <c r="R61" s="113">
        <f t="shared" si="18"/>
        <v>0</v>
      </c>
    </row>
    <row r="62" spans="1:18" ht="12.75">
      <c r="A62" s="293" t="s">
        <v>11</v>
      </c>
      <c r="B62" s="257">
        <f t="shared" si="4"/>
        <v>16.5839</v>
      </c>
      <c r="C62" s="59">
        <f t="shared" si="5"/>
        <v>0</v>
      </c>
      <c r="D62" s="59">
        <f aca="true" t="shared" si="20" ref="D62:D79">B62+C62</f>
        <v>16.5839</v>
      </c>
      <c r="E62" s="113">
        <f t="shared" si="19"/>
        <v>514.2655103247981</v>
      </c>
      <c r="F62" s="257">
        <f t="shared" si="6"/>
        <v>38.8834</v>
      </c>
      <c r="G62" s="261">
        <f t="shared" si="7"/>
        <v>0</v>
      </c>
      <c r="H62" s="257">
        <f t="shared" si="8"/>
        <v>0</v>
      </c>
      <c r="I62" s="261">
        <f t="shared" si="9"/>
        <v>0</v>
      </c>
      <c r="J62" s="257">
        <f t="shared" si="10"/>
        <v>0</v>
      </c>
      <c r="K62" s="59">
        <f t="shared" si="11"/>
        <v>0</v>
      </c>
      <c r="L62" s="59">
        <f t="shared" si="12"/>
        <v>0</v>
      </c>
      <c r="M62" s="59">
        <f t="shared" si="13"/>
        <v>0</v>
      </c>
      <c r="N62" s="113">
        <f t="shared" si="14"/>
        <v>0</v>
      </c>
      <c r="O62" s="257">
        <f t="shared" si="15"/>
        <v>0</v>
      </c>
      <c r="P62" s="59">
        <f t="shared" si="16"/>
        <v>0</v>
      </c>
      <c r="Q62" s="59">
        <f t="shared" si="17"/>
        <v>0</v>
      </c>
      <c r="R62" s="113">
        <f t="shared" si="18"/>
        <v>0</v>
      </c>
    </row>
    <row r="63" spans="1:18" ht="12.75">
      <c r="A63" s="293" t="s">
        <v>20</v>
      </c>
      <c r="B63" s="257">
        <f t="shared" si="4"/>
        <v>55.8797</v>
      </c>
      <c r="C63" s="59">
        <f t="shared" si="5"/>
        <v>0</v>
      </c>
      <c r="D63" s="59">
        <f t="shared" si="20"/>
        <v>55.8797</v>
      </c>
      <c r="E63" s="113">
        <f t="shared" si="19"/>
        <v>1732.825356960463</v>
      </c>
      <c r="F63" s="257">
        <f t="shared" si="6"/>
        <v>131.0182</v>
      </c>
      <c r="G63" s="261">
        <f t="shared" si="7"/>
        <v>0</v>
      </c>
      <c r="H63" s="257">
        <f t="shared" si="8"/>
        <v>0</v>
      </c>
      <c r="I63" s="261">
        <f t="shared" si="9"/>
        <v>0</v>
      </c>
      <c r="J63" s="257">
        <f t="shared" si="10"/>
        <v>0</v>
      </c>
      <c r="K63" s="59">
        <f t="shared" si="11"/>
        <v>0</v>
      </c>
      <c r="L63" s="59">
        <f t="shared" si="12"/>
        <v>0</v>
      </c>
      <c r="M63" s="59">
        <f t="shared" si="13"/>
        <v>0</v>
      </c>
      <c r="N63" s="113">
        <f t="shared" si="14"/>
        <v>0</v>
      </c>
      <c r="O63" s="257">
        <f t="shared" si="15"/>
        <v>0</v>
      </c>
      <c r="P63" s="59">
        <f t="shared" si="16"/>
        <v>0</v>
      </c>
      <c r="Q63" s="59">
        <f t="shared" si="17"/>
        <v>0</v>
      </c>
      <c r="R63" s="113">
        <f t="shared" si="18"/>
        <v>0</v>
      </c>
    </row>
    <row r="64" spans="1:18" ht="12.75">
      <c r="A64" s="293" t="s">
        <v>21</v>
      </c>
      <c r="B64" s="257">
        <f t="shared" si="4"/>
        <v>8.2728</v>
      </c>
      <c r="C64" s="59">
        <f t="shared" si="5"/>
        <v>0</v>
      </c>
      <c r="D64" s="59">
        <f t="shared" si="20"/>
        <v>8.2728</v>
      </c>
      <c r="E64" s="113">
        <f t="shared" si="19"/>
        <v>256.5389150811926</v>
      </c>
      <c r="F64" s="257">
        <f t="shared" si="6"/>
        <v>19.396800000000002</v>
      </c>
      <c r="G64" s="261">
        <f>F64*$G$56</f>
        <v>0</v>
      </c>
      <c r="H64" s="257">
        <f t="shared" si="8"/>
        <v>0</v>
      </c>
      <c r="I64" s="261">
        <f t="shared" si="9"/>
        <v>0</v>
      </c>
      <c r="J64" s="257">
        <f t="shared" si="10"/>
        <v>0</v>
      </c>
      <c r="K64" s="59">
        <f t="shared" si="11"/>
        <v>0</v>
      </c>
      <c r="L64" s="59">
        <f t="shared" si="12"/>
        <v>0</v>
      </c>
      <c r="M64" s="59">
        <f t="shared" si="13"/>
        <v>0</v>
      </c>
      <c r="N64" s="113">
        <f t="shared" si="14"/>
        <v>0</v>
      </c>
      <c r="O64" s="257">
        <f t="shared" si="15"/>
        <v>0</v>
      </c>
      <c r="P64" s="59">
        <f t="shared" si="16"/>
        <v>0</v>
      </c>
      <c r="Q64" s="59">
        <f t="shared" si="17"/>
        <v>0</v>
      </c>
      <c r="R64" s="113">
        <f t="shared" si="18"/>
        <v>0</v>
      </c>
    </row>
    <row r="65" spans="1:18" ht="12.75">
      <c r="A65" s="293" t="s">
        <v>66</v>
      </c>
      <c r="B65" s="257">
        <f t="shared" si="4"/>
        <v>12.9071</v>
      </c>
      <c r="C65" s="59">
        <f t="shared" si="5"/>
        <v>0</v>
      </c>
      <c r="D65" s="59">
        <f t="shared" si="20"/>
        <v>12.9071</v>
      </c>
      <c r="E65" s="113">
        <f t="shared" si="19"/>
        <v>400.248214733157</v>
      </c>
      <c r="F65" s="257">
        <f t="shared" si="6"/>
        <v>30.2626</v>
      </c>
      <c r="G65" s="261">
        <f t="shared" si="7"/>
        <v>0</v>
      </c>
      <c r="H65" s="257">
        <f t="shared" si="8"/>
        <v>0</v>
      </c>
      <c r="I65" s="261">
        <f t="shared" si="9"/>
        <v>0</v>
      </c>
      <c r="J65" s="257">
        <f t="shared" si="10"/>
        <v>0</v>
      </c>
      <c r="K65" s="59">
        <f t="shared" si="11"/>
        <v>0</v>
      </c>
      <c r="L65" s="59">
        <f t="shared" si="12"/>
        <v>0</v>
      </c>
      <c r="M65" s="59">
        <f t="shared" si="13"/>
        <v>0</v>
      </c>
      <c r="N65" s="113">
        <f t="shared" si="14"/>
        <v>0</v>
      </c>
      <c r="O65" s="257">
        <f t="shared" si="15"/>
        <v>0</v>
      </c>
      <c r="P65" s="59">
        <f t="shared" si="16"/>
        <v>0</v>
      </c>
      <c r="Q65" s="59">
        <f t="shared" si="17"/>
        <v>0</v>
      </c>
      <c r="R65" s="113">
        <f t="shared" si="18"/>
        <v>0</v>
      </c>
    </row>
    <row r="66" spans="1:18" ht="12.75">
      <c r="A66" s="293" t="s">
        <v>50</v>
      </c>
      <c r="B66" s="257">
        <f t="shared" si="4"/>
        <v>7.2387</v>
      </c>
      <c r="C66" s="59">
        <f t="shared" si="5"/>
        <v>0</v>
      </c>
      <c r="D66" s="59">
        <f t="shared" si="20"/>
        <v>7.2387</v>
      </c>
      <c r="E66" s="113">
        <f t="shared" si="19"/>
        <v>224.47155069604355</v>
      </c>
      <c r="F66" s="257">
        <f t="shared" si="6"/>
        <v>16.9722</v>
      </c>
      <c r="G66" s="261">
        <f t="shared" si="7"/>
        <v>0</v>
      </c>
      <c r="H66" s="257">
        <f t="shared" si="8"/>
        <v>0</v>
      </c>
      <c r="I66" s="261">
        <f t="shared" si="9"/>
        <v>0</v>
      </c>
      <c r="J66" s="257">
        <f t="shared" si="10"/>
        <v>0</v>
      </c>
      <c r="K66" s="59">
        <f t="shared" si="11"/>
        <v>0</v>
      </c>
      <c r="L66" s="59">
        <f t="shared" si="12"/>
        <v>0</v>
      </c>
      <c r="M66" s="59">
        <f t="shared" si="13"/>
        <v>0</v>
      </c>
      <c r="N66" s="113">
        <f t="shared" si="14"/>
        <v>0</v>
      </c>
      <c r="O66" s="257">
        <f t="shared" si="15"/>
        <v>0</v>
      </c>
      <c r="P66" s="59">
        <f t="shared" si="16"/>
        <v>0</v>
      </c>
      <c r="Q66" s="59">
        <f t="shared" si="17"/>
        <v>0</v>
      </c>
      <c r="R66" s="113">
        <f t="shared" si="18"/>
        <v>0</v>
      </c>
    </row>
    <row r="67" spans="1:18" ht="12.75">
      <c r="A67" s="293" t="s">
        <v>33</v>
      </c>
      <c r="B67" s="257">
        <f t="shared" si="4"/>
        <v>45.577</v>
      </c>
      <c r="C67" s="59">
        <f t="shared" si="5"/>
        <v>0</v>
      </c>
      <c r="D67" s="59">
        <f t="shared" si="20"/>
        <v>45.577</v>
      </c>
      <c r="E67" s="113">
        <f t="shared" si="19"/>
        <v>1413.3393932713852</v>
      </c>
      <c r="F67" s="257">
        <f t="shared" si="6"/>
        <v>106.862</v>
      </c>
      <c r="G67" s="261">
        <f t="shared" si="7"/>
        <v>0</v>
      </c>
      <c r="H67" s="257">
        <f t="shared" si="8"/>
        <v>0</v>
      </c>
      <c r="I67" s="261">
        <f>H67*$I$56</f>
        <v>0</v>
      </c>
      <c r="J67" s="257">
        <f t="shared" si="10"/>
        <v>0</v>
      </c>
      <c r="K67" s="59">
        <f t="shared" si="11"/>
        <v>0</v>
      </c>
      <c r="L67" s="59">
        <f t="shared" si="12"/>
        <v>0</v>
      </c>
      <c r="M67" s="59">
        <f t="shared" si="13"/>
        <v>0</v>
      </c>
      <c r="N67" s="113">
        <f t="shared" si="14"/>
        <v>0</v>
      </c>
      <c r="O67" s="257">
        <f t="shared" si="15"/>
        <v>0</v>
      </c>
      <c r="P67" s="59">
        <f t="shared" si="16"/>
        <v>0</v>
      </c>
      <c r="Q67" s="59">
        <f t="shared" si="17"/>
        <v>0</v>
      </c>
      <c r="R67" s="113">
        <f t="shared" si="18"/>
        <v>0</v>
      </c>
    </row>
    <row r="68" spans="1:18" ht="12.75">
      <c r="A68" s="293" t="s">
        <v>17</v>
      </c>
      <c r="B68" s="257">
        <f t="shared" si="4"/>
        <v>9.7282</v>
      </c>
      <c r="C68" s="59">
        <f t="shared" si="5"/>
        <v>2.6832</v>
      </c>
      <c r="D68" s="59">
        <f t="shared" si="20"/>
        <v>12.411399999999999</v>
      </c>
      <c r="E68" s="113">
        <f t="shared" si="19"/>
        <v>384.87659445879433</v>
      </c>
      <c r="F68" s="257">
        <f t="shared" si="6"/>
        <v>22.8092</v>
      </c>
      <c r="G68" s="261">
        <f t="shared" si="7"/>
        <v>0</v>
      </c>
      <c r="H68" s="257">
        <f t="shared" si="8"/>
        <v>39.744899999999994</v>
      </c>
      <c r="I68" s="261">
        <f t="shared" si="9"/>
        <v>0</v>
      </c>
      <c r="J68" s="257">
        <f t="shared" si="10"/>
        <v>0</v>
      </c>
      <c r="K68" s="59">
        <f t="shared" si="11"/>
        <v>0</v>
      </c>
      <c r="L68" s="59">
        <f t="shared" si="12"/>
        <v>0</v>
      </c>
      <c r="M68" s="59">
        <f t="shared" si="13"/>
        <v>0</v>
      </c>
      <c r="N68" s="113">
        <f t="shared" si="14"/>
        <v>0</v>
      </c>
      <c r="O68" s="257">
        <f t="shared" si="15"/>
        <v>0</v>
      </c>
      <c r="P68" s="59">
        <f t="shared" si="16"/>
        <v>0</v>
      </c>
      <c r="Q68" s="59">
        <f t="shared" si="17"/>
        <v>0</v>
      </c>
      <c r="R68" s="113">
        <f t="shared" si="18"/>
        <v>0</v>
      </c>
    </row>
    <row r="69" spans="1:18" ht="12.75">
      <c r="A69" s="293" t="s">
        <v>12</v>
      </c>
      <c r="B69" s="257">
        <f t="shared" si="4"/>
        <v>14.7455</v>
      </c>
      <c r="C69" s="59">
        <f t="shared" si="5"/>
        <v>1.5344</v>
      </c>
      <c r="D69" s="59">
        <f t="shared" si="20"/>
        <v>16.2799</v>
      </c>
      <c r="E69" s="113">
        <f t="shared" si="19"/>
        <v>504.8384928476826</v>
      </c>
      <c r="F69" s="257">
        <f t="shared" si="6"/>
        <v>34.573</v>
      </c>
      <c r="G69" s="261">
        <f t="shared" si="7"/>
        <v>0</v>
      </c>
      <c r="H69" s="257">
        <f t="shared" si="8"/>
        <v>22.7283</v>
      </c>
      <c r="I69" s="261">
        <f t="shared" si="9"/>
        <v>0</v>
      </c>
      <c r="J69" s="257">
        <f t="shared" si="10"/>
        <v>0</v>
      </c>
      <c r="K69" s="59">
        <f t="shared" si="11"/>
        <v>0</v>
      </c>
      <c r="L69" s="59">
        <f t="shared" si="12"/>
        <v>0</v>
      </c>
      <c r="M69" s="59">
        <f t="shared" si="13"/>
        <v>0</v>
      </c>
      <c r="N69" s="113">
        <f t="shared" si="14"/>
        <v>0</v>
      </c>
      <c r="O69" s="257">
        <f t="shared" si="15"/>
        <v>0</v>
      </c>
      <c r="P69" s="59">
        <f t="shared" si="16"/>
        <v>0</v>
      </c>
      <c r="Q69" s="59">
        <f t="shared" si="17"/>
        <v>0</v>
      </c>
      <c r="R69" s="113">
        <f t="shared" si="18"/>
        <v>0</v>
      </c>
    </row>
    <row r="70" spans="1:18" ht="12.75">
      <c r="A70" s="293" t="s">
        <v>13</v>
      </c>
      <c r="B70" s="257">
        <f t="shared" si="4"/>
        <v>7.2004</v>
      </c>
      <c r="C70" s="59">
        <f t="shared" si="5"/>
        <v>0.2352</v>
      </c>
      <c r="D70" s="59">
        <f t="shared" si="20"/>
        <v>7.4356</v>
      </c>
      <c r="E70" s="113">
        <f t="shared" si="19"/>
        <v>230.57740510803063</v>
      </c>
      <c r="F70" s="257">
        <f t="shared" si="6"/>
        <v>16.8824</v>
      </c>
      <c r="G70" s="261">
        <f t="shared" si="7"/>
        <v>0</v>
      </c>
      <c r="H70" s="257">
        <f t="shared" si="8"/>
        <v>3.4838999999999998</v>
      </c>
      <c r="I70" s="261">
        <f t="shared" si="9"/>
        <v>0</v>
      </c>
      <c r="J70" s="257">
        <f t="shared" si="10"/>
        <v>0</v>
      </c>
      <c r="K70" s="59">
        <f t="shared" si="11"/>
        <v>0</v>
      </c>
      <c r="L70" s="59">
        <f t="shared" si="12"/>
        <v>0</v>
      </c>
      <c r="M70" s="59">
        <f t="shared" si="13"/>
        <v>0</v>
      </c>
      <c r="N70" s="113">
        <f t="shared" si="14"/>
        <v>0</v>
      </c>
      <c r="O70" s="257">
        <f t="shared" si="15"/>
        <v>0</v>
      </c>
      <c r="P70" s="59">
        <f t="shared" si="16"/>
        <v>0</v>
      </c>
      <c r="Q70" s="59">
        <f t="shared" si="17"/>
        <v>0</v>
      </c>
      <c r="R70" s="113">
        <f t="shared" si="18"/>
        <v>0</v>
      </c>
    </row>
    <row r="71" spans="1:18" ht="12.75">
      <c r="A71" s="293" t="s">
        <v>9</v>
      </c>
      <c r="B71" s="257">
        <f t="shared" si="4"/>
        <v>20.2607</v>
      </c>
      <c r="C71" s="59">
        <f t="shared" si="5"/>
        <v>4.9024</v>
      </c>
      <c r="D71" s="59">
        <f t="shared" si="20"/>
        <v>25.1631</v>
      </c>
      <c r="E71" s="113">
        <f t="shared" si="19"/>
        <v>780.3058667052942</v>
      </c>
      <c r="F71" s="257">
        <f t="shared" si="6"/>
        <v>47.504200000000004</v>
      </c>
      <c r="G71" s="261">
        <f t="shared" si="7"/>
        <v>0</v>
      </c>
      <c r="H71" s="257">
        <f t="shared" si="8"/>
        <v>72.6168</v>
      </c>
      <c r="I71" s="261">
        <f t="shared" si="9"/>
        <v>0</v>
      </c>
      <c r="J71" s="257">
        <f t="shared" si="10"/>
        <v>0</v>
      </c>
      <c r="K71" s="59">
        <f t="shared" si="11"/>
        <v>0</v>
      </c>
      <c r="L71" s="59">
        <f t="shared" si="12"/>
        <v>0</v>
      </c>
      <c r="M71" s="59">
        <f t="shared" si="13"/>
        <v>0</v>
      </c>
      <c r="N71" s="113">
        <f t="shared" si="14"/>
        <v>0</v>
      </c>
      <c r="O71" s="257">
        <f t="shared" si="15"/>
        <v>0</v>
      </c>
      <c r="P71" s="59">
        <f t="shared" si="16"/>
        <v>0</v>
      </c>
      <c r="Q71" s="59">
        <f t="shared" si="17"/>
        <v>0</v>
      </c>
      <c r="R71" s="113">
        <f t="shared" si="18"/>
        <v>0</v>
      </c>
    </row>
    <row r="72" spans="1:18" ht="12.75">
      <c r="A72" s="293" t="s">
        <v>14</v>
      </c>
      <c r="B72" s="257">
        <f t="shared" si="4"/>
        <v>6.893999999999999</v>
      </c>
      <c r="C72" s="59">
        <f t="shared" si="5"/>
        <v>0</v>
      </c>
      <c r="D72" s="59">
        <f t="shared" si="20"/>
        <v>6.893999999999999</v>
      </c>
      <c r="E72" s="113">
        <f t="shared" si="19"/>
        <v>213.78242923432717</v>
      </c>
      <c r="F72" s="257">
        <f t="shared" si="6"/>
        <v>16.163999999999998</v>
      </c>
      <c r="G72" s="261">
        <f t="shared" si="7"/>
        <v>0</v>
      </c>
      <c r="H72" s="257">
        <f t="shared" si="8"/>
        <v>0</v>
      </c>
      <c r="I72" s="261">
        <f t="shared" si="9"/>
        <v>0</v>
      </c>
      <c r="J72" s="257">
        <f t="shared" si="10"/>
        <v>0</v>
      </c>
      <c r="K72" s="59">
        <f t="shared" si="11"/>
        <v>0</v>
      </c>
      <c r="L72" s="59">
        <f t="shared" si="12"/>
        <v>0</v>
      </c>
      <c r="M72" s="59">
        <f t="shared" si="13"/>
        <v>0</v>
      </c>
      <c r="N72" s="113">
        <f t="shared" si="14"/>
        <v>0</v>
      </c>
      <c r="O72" s="257">
        <f t="shared" si="15"/>
        <v>0</v>
      </c>
      <c r="P72" s="59">
        <f t="shared" si="16"/>
        <v>0</v>
      </c>
      <c r="Q72" s="59">
        <f t="shared" si="17"/>
        <v>0</v>
      </c>
      <c r="R72" s="113">
        <f t="shared" si="18"/>
        <v>0</v>
      </c>
    </row>
    <row r="73" spans="1:18" ht="12.75">
      <c r="A73" s="293" t="s">
        <v>15</v>
      </c>
      <c r="B73" s="257">
        <f t="shared" si="4"/>
        <v>15.932799999999999</v>
      </c>
      <c r="C73" s="59">
        <f t="shared" si="5"/>
        <v>0</v>
      </c>
      <c r="D73" s="59">
        <f t="shared" si="20"/>
        <v>15.932799999999999</v>
      </c>
      <c r="E73" s="113">
        <f t="shared" si="19"/>
        <v>494.0749475637783</v>
      </c>
      <c r="F73" s="257">
        <f t="shared" si="6"/>
        <v>37.3568</v>
      </c>
      <c r="G73" s="261">
        <f t="shared" si="7"/>
        <v>0</v>
      </c>
      <c r="H73" s="257">
        <f t="shared" si="8"/>
        <v>0</v>
      </c>
      <c r="I73" s="261">
        <f t="shared" si="9"/>
        <v>0</v>
      </c>
      <c r="J73" s="257">
        <f t="shared" si="10"/>
        <v>0</v>
      </c>
      <c r="K73" s="59">
        <f t="shared" si="11"/>
        <v>0</v>
      </c>
      <c r="L73" s="59">
        <f t="shared" si="12"/>
        <v>0</v>
      </c>
      <c r="M73" s="59">
        <f t="shared" si="13"/>
        <v>0</v>
      </c>
      <c r="N73" s="113">
        <f t="shared" si="14"/>
        <v>0</v>
      </c>
      <c r="O73" s="257">
        <f t="shared" si="15"/>
        <v>0</v>
      </c>
      <c r="P73" s="59">
        <f t="shared" si="16"/>
        <v>0</v>
      </c>
      <c r="Q73" s="59">
        <f t="shared" si="17"/>
        <v>0</v>
      </c>
      <c r="R73" s="113">
        <f t="shared" si="18"/>
        <v>0</v>
      </c>
    </row>
    <row r="74" spans="1:18" ht="12.75">
      <c r="A74" s="293" t="s">
        <v>10</v>
      </c>
      <c r="B74" s="257">
        <f t="shared" si="4"/>
        <v>17.4648</v>
      </c>
      <c r="C74" s="59">
        <f t="shared" si="5"/>
        <v>2.6128</v>
      </c>
      <c r="D74" s="59">
        <f t="shared" si="20"/>
        <v>20.0776</v>
      </c>
      <c r="E74" s="113">
        <f t="shared" si="19"/>
        <v>622.6048884820318</v>
      </c>
      <c r="F74" s="257">
        <f t="shared" si="6"/>
        <v>40.9488</v>
      </c>
      <c r="G74" s="261">
        <f t="shared" si="7"/>
        <v>0</v>
      </c>
      <c r="H74" s="257">
        <f t="shared" si="8"/>
        <v>38.7021</v>
      </c>
      <c r="I74" s="261">
        <f t="shared" si="9"/>
        <v>0</v>
      </c>
      <c r="J74" s="257">
        <f t="shared" si="10"/>
        <v>0</v>
      </c>
      <c r="K74" s="59">
        <f t="shared" si="11"/>
        <v>0</v>
      </c>
      <c r="L74" s="59">
        <f t="shared" si="12"/>
        <v>0</v>
      </c>
      <c r="M74" s="59">
        <f t="shared" si="13"/>
        <v>0</v>
      </c>
      <c r="N74" s="113">
        <f t="shared" si="14"/>
        <v>0</v>
      </c>
      <c r="O74" s="257">
        <f t="shared" si="15"/>
        <v>0</v>
      </c>
      <c r="P74" s="59">
        <f t="shared" si="16"/>
        <v>0</v>
      </c>
      <c r="Q74" s="59">
        <f t="shared" si="17"/>
        <v>0</v>
      </c>
      <c r="R74" s="113">
        <f t="shared" si="18"/>
        <v>0</v>
      </c>
    </row>
    <row r="75" spans="1:18" ht="12.75">
      <c r="A75" s="293" t="s">
        <v>8</v>
      </c>
      <c r="B75" s="257">
        <f t="shared" si="4"/>
        <v>24.780099999999997</v>
      </c>
      <c r="C75" s="59">
        <f t="shared" si="5"/>
        <v>2.24</v>
      </c>
      <c r="D75" s="59">
        <f t="shared" si="20"/>
        <v>27.0201</v>
      </c>
      <c r="E75" s="113">
        <f t="shared" si="19"/>
        <v>837.8912991230699</v>
      </c>
      <c r="F75" s="257">
        <f t="shared" si="6"/>
        <v>58.10059999999999</v>
      </c>
      <c r="G75" s="261">
        <f t="shared" si="7"/>
        <v>0</v>
      </c>
      <c r="H75" s="257">
        <f t="shared" si="8"/>
        <v>33.18</v>
      </c>
      <c r="I75" s="261">
        <f t="shared" si="9"/>
        <v>0</v>
      </c>
      <c r="J75" s="257">
        <f t="shared" si="10"/>
        <v>0</v>
      </c>
      <c r="K75" s="59">
        <f t="shared" si="11"/>
        <v>0</v>
      </c>
      <c r="L75" s="59">
        <f t="shared" si="12"/>
        <v>0</v>
      </c>
      <c r="M75" s="59">
        <f t="shared" si="13"/>
        <v>0</v>
      </c>
      <c r="N75" s="113">
        <f t="shared" si="14"/>
        <v>0</v>
      </c>
      <c r="O75" s="257">
        <f t="shared" si="15"/>
        <v>0</v>
      </c>
      <c r="P75" s="59">
        <f t="shared" si="16"/>
        <v>0</v>
      </c>
      <c r="Q75" s="59">
        <f t="shared" si="17"/>
        <v>0</v>
      </c>
      <c r="R75" s="113">
        <f t="shared" si="18"/>
        <v>0</v>
      </c>
    </row>
    <row r="76" spans="1:18" ht="12.75">
      <c r="A76" s="293" t="s">
        <v>18</v>
      </c>
      <c r="B76" s="257">
        <f t="shared" si="4"/>
        <v>0.9957999999999999</v>
      </c>
      <c r="C76" s="59">
        <f t="shared" si="5"/>
        <v>0.0832</v>
      </c>
      <c r="D76" s="59">
        <f t="shared" si="20"/>
        <v>1.079</v>
      </c>
      <c r="E76" s="113">
        <f t="shared" si="19"/>
        <v>33.45971005857833</v>
      </c>
      <c r="F76" s="257">
        <f t="shared" si="6"/>
        <v>2.3348</v>
      </c>
      <c r="G76" s="261">
        <f t="shared" si="7"/>
        <v>0</v>
      </c>
      <c r="H76" s="257">
        <f t="shared" si="8"/>
        <v>1.2324</v>
      </c>
      <c r="I76" s="261">
        <f t="shared" si="9"/>
        <v>0</v>
      </c>
      <c r="J76" s="257">
        <f t="shared" si="10"/>
        <v>0</v>
      </c>
      <c r="K76" s="59">
        <f t="shared" si="11"/>
        <v>0</v>
      </c>
      <c r="L76" s="59">
        <f t="shared" si="12"/>
        <v>0</v>
      </c>
      <c r="M76" s="59">
        <f t="shared" si="13"/>
        <v>0</v>
      </c>
      <c r="N76" s="113">
        <f t="shared" si="14"/>
        <v>0</v>
      </c>
      <c r="O76" s="257">
        <f t="shared" si="15"/>
        <v>0</v>
      </c>
      <c r="P76" s="59">
        <f t="shared" si="16"/>
        <v>0</v>
      </c>
      <c r="Q76" s="59">
        <f t="shared" si="17"/>
        <v>0</v>
      </c>
      <c r="R76" s="113">
        <f t="shared" si="18"/>
        <v>0</v>
      </c>
    </row>
    <row r="77" spans="1:18" ht="12.75">
      <c r="A77" s="293" t="s">
        <v>184</v>
      </c>
      <c r="B77" s="257">
        <f t="shared" si="4"/>
        <v>2.1448</v>
      </c>
      <c r="C77" s="59">
        <f t="shared" si="5"/>
        <v>0.0784</v>
      </c>
      <c r="D77" s="59">
        <f>B77+C77</f>
        <v>2.2232</v>
      </c>
      <c r="E77" s="113">
        <f>D77*$E$56</f>
        <v>68.94126728659069</v>
      </c>
      <c r="F77" s="257">
        <f t="shared" si="6"/>
        <v>5.0288</v>
      </c>
      <c r="G77" s="261">
        <f>F77*$G$56</f>
        <v>0</v>
      </c>
      <c r="H77" s="257">
        <f t="shared" si="8"/>
        <v>1.1613</v>
      </c>
      <c r="I77" s="261">
        <f>H77*$I$56</f>
        <v>0</v>
      </c>
      <c r="J77" s="257">
        <f t="shared" si="10"/>
        <v>0</v>
      </c>
      <c r="K77" s="59">
        <f t="shared" si="11"/>
        <v>0</v>
      </c>
      <c r="L77" s="59">
        <f t="shared" si="12"/>
        <v>0</v>
      </c>
      <c r="M77" s="59">
        <f>J77+K77+L77</f>
        <v>0</v>
      </c>
      <c r="N77" s="113">
        <f>M77*$N$56</f>
        <v>0</v>
      </c>
      <c r="O77" s="257">
        <f t="shared" si="15"/>
        <v>0</v>
      </c>
      <c r="P77" s="59">
        <f t="shared" si="16"/>
        <v>0</v>
      </c>
      <c r="Q77" s="59">
        <f>O77+P77</f>
        <v>0</v>
      </c>
      <c r="R77" s="113">
        <f>Q77*$R$56</f>
        <v>0</v>
      </c>
    </row>
    <row r="78" spans="1:18" ht="12.75">
      <c r="A78" s="293" t="s">
        <v>185</v>
      </c>
      <c r="B78" s="257">
        <f t="shared" si="4"/>
        <v>1.5703</v>
      </c>
      <c r="C78" s="59">
        <f t="shared" si="5"/>
        <v>0.1504</v>
      </c>
      <c r="D78" s="59">
        <f t="shared" si="20"/>
        <v>1.7207000000000001</v>
      </c>
      <c r="E78" s="113">
        <f t="shared" si="19"/>
        <v>53.35877951602942</v>
      </c>
      <c r="F78" s="257">
        <f t="shared" si="6"/>
        <v>3.6818000000000004</v>
      </c>
      <c r="G78" s="261">
        <f t="shared" si="7"/>
        <v>0</v>
      </c>
      <c r="H78" s="257">
        <f t="shared" si="8"/>
        <v>2.2278000000000002</v>
      </c>
      <c r="I78" s="261">
        <f t="shared" si="9"/>
        <v>0</v>
      </c>
      <c r="J78" s="257">
        <f t="shared" si="10"/>
        <v>0</v>
      </c>
      <c r="K78" s="59">
        <f t="shared" si="11"/>
        <v>0</v>
      </c>
      <c r="L78" s="59">
        <f t="shared" si="12"/>
        <v>0</v>
      </c>
      <c r="M78" s="59">
        <f t="shared" si="13"/>
        <v>0</v>
      </c>
      <c r="N78" s="113">
        <f t="shared" si="14"/>
        <v>0</v>
      </c>
      <c r="O78" s="257">
        <f t="shared" si="15"/>
        <v>0</v>
      </c>
      <c r="P78" s="59">
        <f t="shared" si="16"/>
        <v>0</v>
      </c>
      <c r="Q78" s="59">
        <f t="shared" si="17"/>
        <v>0</v>
      </c>
      <c r="R78" s="113">
        <f t="shared" si="18"/>
        <v>0</v>
      </c>
    </row>
    <row r="79" spans="1:18" ht="12.75">
      <c r="A79" s="293" t="s">
        <v>159</v>
      </c>
      <c r="B79" s="257">
        <f t="shared" si="4"/>
        <v>0.7277</v>
      </c>
      <c r="C79" s="59">
        <f t="shared" si="5"/>
        <v>0.0464</v>
      </c>
      <c r="D79" s="59">
        <f t="shared" si="20"/>
        <v>0.7741</v>
      </c>
      <c r="E79" s="113">
        <f t="shared" si="19"/>
        <v>24.00478364814225</v>
      </c>
      <c r="F79" s="257">
        <f t="shared" si="6"/>
        <v>1.7062</v>
      </c>
      <c r="G79" s="261">
        <f t="shared" si="7"/>
        <v>0</v>
      </c>
      <c r="H79" s="257">
        <f t="shared" si="8"/>
        <v>0.6872999999999999</v>
      </c>
      <c r="I79" s="261">
        <f t="shared" si="9"/>
        <v>0</v>
      </c>
      <c r="J79" s="257">
        <f t="shared" si="10"/>
        <v>0</v>
      </c>
      <c r="K79" s="59">
        <f t="shared" si="11"/>
        <v>0</v>
      </c>
      <c r="L79" s="59">
        <f t="shared" si="12"/>
        <v>0</v>
      </c>
      <c r="M79" s="59">
        <f t="shared" si="13"/>
        <v>0</v>
      </c>
      <c r="N79" s="113">
        <f t="shared" si="14"/>
        <v>0</v>
      </c>
      <c r="O79" s="257">
        <f t="shared" si="15"/>
        <v>0</v>
      </c>
      <c r="P79" s="59">
        <f t="shared" si="16"/>
        <v>0</v>
      </c>
      <c r="Q79" s="59">
        <f t="shared" si="17"/>
        <v>0</v>
      </c>
      <c r="R79" s="113">
        <f t="shared" si="18"/>
        <v>0</v>
      </c>
    </row>
    <row r="80" spans="1:18" ht="13.5" thickBot="1">
      <c r="A80" s="300" t="s">
        <v>160</v>
      </c>
      <c r="B80" s="257">
        <f>B49*$B$11</f>
        <v>0</v>
      </c>
      <c r="C80" s="59">
        <f>C49*$B$13</f>
        <v>0</v>
      </c>
      <c r="D80" s="59">
        <f>B80+C80</f>
        <v>0</v>
      </c>
      <c r="E80" s="113">
        <f>D80*$E$56</f>
        <v>0</v>
      </c>
      <c r="F80" s="257">
        <f>B49*$C$11</f>
        <v>0</v>
      </c>
      <c r="G80" s="261">
        <f t="shared" si="7"/>
        <v>0</v>
      </c>
      <c r="H80" s="257">
        <f t="shared" si="8"/>
        <v>0</v>
      </c>
      <c r="I80" s="261">
        <f t="shared" si="9"/>
        <v>0</v>
      </c>
      <c r="J80" s="257">
        <f t="shared" si="10"/>
        <v>0</v>
      </c>
      <c r="K80" s="59">
        <f t="shared" si="11"/>
        <v>0</v>
      </c>
      <c r="L80" s="59">
        <f t="shared" si="12"/>
        <v>0</v>
      </c>
      <c r="M80" s="59">
        <f t="shared" si="13"/>
        <v>0</v>
      </c>
      <c r="N80" s="113">
        <f t="shared" si="14"/>
        <v>0</v>
      </c>
      <c r="O80" s="257">
        <f t="shared" si="15"/>
        <v>0</v>
      </c>
      <c r="P80" s="59">
        <f t="shared" si="16"/>
        <v>0</v>
      </c>
      <c r="Q80" s="59">
        <f>O80+P80</f>
        <v>0</v>
      </c>
      <c r="R80" s="113">
        <f t="shared" si="18"/>
        <v>0</v>
      </c>
    </row>
    <row r="81" spans="1:18" ht="13.5" thickBot="1">
      <c r="A81" s="301" t="s">
        <v>56</v>
      </c>
      <c r="B81" s="259">
        <f>SUM(B58:B80)</f>
        <v>382.99999999999994</v>
      </c>
      <c r="C81" s="296">
        <f aca="true" t="shared" si="21" ref="C81:R81">SUM(C58:C80)</f>
        <v>15.999999999999998</v>
      </c>
      <c r="D81" s="296">
        <f t="shared" si="21"/>
        <v>399.00000000000006</v>
      </c>
      <c r="E81" s="297">
        <f t="shared" si="21"/>
        <v>12372.96043871432</v>
      </c>
      <c r="F81" s="259">
        <f t="shared" si="21"/>
        <v>897.9999999999999</v>
      </c>
      <c r="G81" s="297">
        <f t="shared" si="21"/>
        <v>0</v>
      </c>
      <c r="H81" s="259">
        <f t="shared" si="21"/>
        <v>237.00000000000003</v>
      </c>
      <c r="I81" s="297">
        <f t="shared" si="21"/>
        <v>0</v>
      </c>
      <c r="J81" s="259">
        <f t="shared" si="21"/>
        <v>0</v>
      </c>
      <c r="K81" s="296">
        <f t="shared" si="21"/>
        <v>0</v>
      </c>
      <c r="L81" s="296">
        <f t="shared" si="21"/>
        <v>0</v>
      </c>
      <c r="M81" s="296">
        <f t="shared" si="21"/>
        <v>0</v>
      </c>
      <c r="N81" s="297">
        <f>SUM(N58:N80)</f>
        <v>0</v>
      </c>
      <c r="O81" s="259">
        <f t="shared" si="21"/>
        <v>0</v>
      </c>
      <c r="P81" s="296">
        <f t="shared" si="21"/>
        <v>0</v>
      </c>
      <c r="Q81" s="296">
        <f t="shared" si="21"/>
        <v>0</v>
      </c>
      <c r="R81" s="297">
        <f t="shared" si="21"/>
        <v>0</v>
      </c>
    </row>
    <row r="82" spans="1:7" ht="12.75">
      <c r="A82" s="142" t="s">
        <v>92</v>
      </c>
      <c r="B82" s="25"/>
      <c r="C82" s="25"/>
      <c r="D82" s="25"/>
      <c r="E82" s="9"/>
      <c r="F82" s="25"/>
      <c r="G82" s="9"/>
    </row>
    <row r="83" spans="1:4" ht="15">
      <c r="A83" s="55" t="s">
        <v>98</v>
      </c>
      <c r="B83" s="123"/>
      <c r="C83" s="123"/>
      <c r="D83" s="124"/>
    </row>
    <row r="84" spans="1:4" ht="15">
      <c r="A84" s="55" t="s">
        <v>101</v>
      </c>
      <c r="B84" s="123"/>
      <c r="C84" s="123"/>
      <c r="D84" s="124"/>
    </row>
    <row r="85" ht="13.5" thickBot="1"/>
    <row r="86" spans="1:2" ht="16.5" thickBot="1">
      <c r="A86" s="303" t="s">
        <v>82</v>
      </c>
      <c r="B86" s="6"/>
    </row>
    <row r="87" spans="1:4" ht="89.25">
      <c r="A87" s="302" t="s">
        <v>3</v>
      </c>
      <c r="B87" s="94" t="s">
        <v>102</v>
      </c>
      <c r="C87" s="108" t="s">
        <v>174</v>
      </c>
      <c r="D87" s="70"/>
    </row>
    <row r="88" spans="1:3" ht="12.75">
      <c r="A88" s="51" t="s">
        <v>30</v>
      </c>
      <c r="B88" s="129">
        <f>B19*E56</f>
        <v>4930.57821993879</v>
      </c>
      <c r="C88" s="132">
        <f>E81</f>
        <v>12372.96043871432</v>
      </c>
    </row>
    <row r="89" spans="1:3" ht="12.75">
      <c r="A89" s="51" t="s">
        <v>41</v>
      </c>
      <c r="B89" s="129">
        <f>C19*G56</f>
        <v>0</v>
      </c>
      <c r="C89" s="132">
        <f>G81</f>
        <v>0</v>
      </c>
    </row>
    <row r="90" spans="1:3" ht="12.75">
      <c r="A90" s="51" t="s">
        <v>5</v>
      </c>
      <c r="B90" s="129">
        <f>D19*I56</f>
        <v>0</v>
      </c>
      <c r="C90" s="132">
        <f>I81</f>
        <v>0</v>
      </c>
    </row>
    <row r="91" spans="1:3" ht="12.75">
      <c r="A91" s="227" t="s">
        <v>8</v>
      </c>
      <c r="B91" s="129">
        <f>F19*N56</f>
        <v>0</v>
      </c>
      <c r="C91" s="132">
        <f>N81</f>
        <v>0</v>
      </c>
    </row>
    <row r="92" spans="1:3" ht="12.75">
      <c r="A92" s="227" t="s">
        <v>42</v>
      </c>
      <c r="B92" s="129">
        <f>H19*R56</f>
        <v>0</v>
      </c>
      <c r="C92" s="132">
        <f>R81</f>
        <v>0</v>
      </c>
    </row>
    <row r="93" spans="1:3" ht="13.5" thickBot="1">
      <c r="A93" s="109" t="s">
        <v>56</v>
      </c>
      <c r="B93" s="228">
        <f>SUM(B88:B92)</f>
        <v>4930.57821993879</v>
      </c>
      <c r="C93" s="229">
        <f>SUM(C88:C92)</f>
        <v>12372.96043871432</v>
      </c>
    </row>
  </sheetData>
  <sheetProtection/>
  <mergeCells count="16">
    <mergeCell ref="A3:A4"/>
    <mergeCell ref="A22:D22"/>
    <mergeCell ref="A51:C51"/>
    <mergeCell ref="G52:I52"/>
    <mergeCell ref="A54:A56"/>
    <mergeCell ref="B55:E55"/>
    <mergeCell ref="F55:G55"/>
    <mergeCell ref="H55:I55"/>
    <mergeCell ref="E4:F4"/>
    <mergeCell ref="G4:H4"/>
    <mergeCell ref="J55:N55"/>
    <mergeCell ref="O55:R55"/>
    <mergeCell ref="B56:D56"/>
    <mergeCell ref="J56:M56"/>
    <mergeCell ref="O56:Q56"/>
    <mergeCell ref="A23:D23"/>
  </mergeCells>
  <printOptions/>
  <pageMargins left="0.45" right="0.45" top="0.5" bottom="0.5" header="0.3" footer="0.3"/>
  <pageSetup fitToHeight="1" fitToWidth="1" horizontalDpi="600" verticalDpi="600" orientation="landscape" paperSize="5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12.7109375" style="0" customWidth="1"/>
  </cols>
  <sheetData>
    <row r="1" spans="1:2" ht="18">
      <c r="A1" s="496" t="s">
        <v>300</v>
      </c>
      <c r="B1" s="4"/>
    </row>
    <row r="2" spans="1:2" ht="12.75">
      <c r="A2" s="4" t="s">
        <v>24</v>
      </c>
      <c r="B2" s="4"/>
    </row>
    <row r="3" spans="1:10" ht="15.75" thickBot="1">
      <c r="A3" s="308" t="s">
        <v>70</v>
      </c>
      <c r="B3" s="306"/>
      <c r="C3" s="306"/>
      <c r="D3" s="306"/>
      <c r="E3" s="306"/>
      <c r="F3" s="502"/>
      <c r="G3" s="502"/>
      <c r="H3" s="502"/>
      <c r="I3" s="306"/>
      <c r="J3" s="502"/>
    </row>
    <row r="4" spans="1:8" ht="15.75" thickBot="1">
      <c r="A4" s="308"/>
      <c r="B4" s="629" t="s">
        <v>193</v>
      </c>
      <c r="C4" s="630"/>
      <c r="D4" s="631"/>
      <c r="E4" s="632" t="s">
        <v>276</v>
      </c>
      <c r="F4" s="633"/>
      <c r="G4" s="634"/>
      <c r="H4" s="502"/>
    </row>
    <row r="5" spans="1:8" ht="15.75" thickBot="1">
      <c r="A5" s="308"/>
      <c r="B5" s="635" t="s">
        <v>277</v>
      </c>
      <c r="C5" s="636"/>
      <c r="D5" s="637"/>
      <c r="E5" s="638" t="s">
        <v>277</v>
      </c>
      <c r="F5" s="639"/>
      <c r="G5" s="640"/>
      <c r="H5" s="502"/>
    </row>
    <row r="6" spans="1:8" ht="39" thickBot="1">
      <c r="A6" s="573" t="s">
        <v>3</v>
      </c>
      <c r="B6" s="574" t="s">
        <v>278</v>
      </c>
      <c r="C6" s="575" t="s">
        <v>279</v>
      </c>
      <c r="D6" s="576" t="s">
        <v>280</v>
      </c>
      <c r="E6" s="561" t="s">
        <v>278</v>
      </c>
      <c r="F6" s="551" t="s">
        <v>279</v>
      </c>
      <c r="G6" s="552" t="s">
        <v>280</v>
      </c>
      <c r="H6" s="533" t="s">
        <v>3</v>
      </c>
    </row>
    <row r="7" spans="1:8" ht="12.75">
      <c r="A7" s="564" t="s">
        <v>6</v>
      </c>
      <c r="B7" s="506">
        <f>'BRA Resource Clearing Results'!D5</f>
        <v>118.54</v>
      </c>
      <c r="C7" s="507">
        <f>'BRA Resource Clearing Results'!F5</f>
        <v>136</v>
      </c>
      <c r="D7" s="508">
        <f>'BRA Resource Clearing Results'!H5</f>
        <v>136</v>
      </c>
      <c r="E7" s="509">
        <f>'1stIA Resource Clearing Results'!D5</f>
        <v>43</v>
      </c>
      <c r="F7" s="510">
        <f>'1stIA Resource Clearing Results'!F5</f>
        <v>43</v>
      </c>
      <c r="G7" s="511">
        <f>'1stIA Resource Clearing Results'!H5</f>
        <v>43</v>
      </c>
      <c r="H7" s="534" t="s">
        <v>6</v>
      </c>
    </row>
    <row r="8" spans="1:8" ht="12.75">
      <c r="A8" s="564" t="s">
        <v>30</v>
      </c>
      <c r="B8" s="506">
        <f>'BRA Resource Clearing Results'!D6</f>
        <v>150</v>
      </c>
      <c r="C8" s="507">
        <f>'BRA Resource Clearing Results'!F6</f>
        <v>167.46</v>
      </c>
      <c r="D8" s="508">
        <f>'BRA Resource Clearing Results'!H6</f>
        <v>167.46</v>
      </c>
      <c r="E8" s="509">
        <f>'1stIA Resource Clearing Results'!D6</f>
        <v>111</v>
      </c>
      <c r="F8" s="510">
        <f>'1stIA Resource Clearing Results'!F6</f>
        <v>111</v>
      </c>
      <c r="G8" s="511">
        <f>'1stIA Resource Clearing Results'!H6</f>
        <v>111</v>
      </c>
      <c r="H8" s="535" t="s">
        <v>30</v>
      </c>
    </row>
    <row r="9" spans="1:8" ht="12.75">
      <c r="A9" s="564" t="s">
        <v>41</v>
      </c>
      <c r="B9" s="506">
        <f>'BRA Resource Clearing Results'!D7</f>
        <v>150</v>
      </c>
      <c r="C9" s="507">
        <f>'BRA Resource Clearing Results'!F7</f>
        <v>167.46</v>
      </c>
      <c r="D9" s="508">
        <f>'BRA Resource Clearing Results'!H7</f>
        <v>167.46</v>
      </c>
      <c r="E9" s="509">
        <f>'1stIA Resource Clearing Results'!D7</f>
        <v>111</v>
      </c>
      <c r="F9" s="510">
        <f>'1stIA Resource Clearing Results'!F7</f>
        <v>111</v>
      </c>
      <c r="G9" s="511">
        <f>'1stIA Resource Clearing Results'!H7</f>
        <v>111</v>
      </c>
      <c r="H9" s="535" t="s">
        <v>41</v>
      </c>
    </row>
    <row r="10" spans="1:8" ht="12.75">
      <c r="A10" s="564" t="s">
        <v>5</v>
      </c>
      <c r="B10" s="506">
        <f>'BRA Resource Clearing Results'!D8</f>
        <v>150</v>
      </c>
      <c r="C10" s="507">
        <f>'BRA Resource Clearing Results'!F8</f>
        <v>167.46</v>
      </c>
      <c r="D10" s="508">
        <f>'BRA Resource Clearing Results'!H8</f>
        <v>167.46</v>
      </c>
      <c r="E10" s="509">
        <f>'1stIA Resource Clearing Results'!D8</f>
        <v>111</v>
      </c>
      <c r="F10" s="510">
        <f>'1stIA Resource Clearing Results'!F8</f>
        <v>111</v>
      </c>
      <c r="G10" s="511">
        <f>'1stIA Resource Clearing Results'!H8</f>
        <v>111</v>
      </c>
      <c r="H10" s="535" t="s">
        <v>5</v>
      </c>
    </row>
    <row r="11" spans="1:8" ht="12.75">
      <c r="A11" s="564" t="s">
        <v>8</v>
      </c>
      <c r="B11" s="506">
        <f>'BRA Resource Clearing Results'!D9</f>
        <v>150</v>
      </c>
      <c r="C11" s="507">
        <f>'BRA Resource Clearing Results'!F9</f>
        <v>167.46</v>
      </c>
      <c r="D11" s="508">
        <f>'BRA Resource Clearing Results'!H9</f>
        <v>167.46</v>
      </c>
      <c r="E11" s="509">
        <f>'1stIA Resource Clearing Results'!D9</f>
        <v>122.95</v>
      </c>
      <c r="F11" s="510">
        <f>'1stIA Resource Clearing Results'!F9</f>
        <v>122.95</v>
      </c>
      <c r="G11" s="511">
        <f>'1stIA Resource Clearing Results'!H9</f>
        <v>122.95</v>
      </c>
      <c r="H11" s="535" t="s">
        <v>8</v>
      </c>
    </row>
    <row r="12" spans="1:8" ht="12.75">
      <c r="A12" s="564" t="s">
        <v>42</v>
      </c>
      <c r="B12" s="506">
        <f>'BRA Resource Clearing Results'!D10</f>
        <v>150</v>
      </c>
      <c r="C12" s="507">
        <f>'BRA Resource Clearing Results'!F10</f>
        <v>167.46</v>
      </c>
      <c r="D12" s="508">
        <f>'BRA Resource Clearing Results'!H10</f>
        <v>167.46</v>
      </c>
      <c r="E12" s="509">
        <f>'1stIA Resource Clearing Results'!D10</f>
        <v>122.95</v>
      </c>
      <c r="F12" s="510">
        <f>'1stIA Resource Clearing Results'!F10</f>
        <v>122.95</v>
      </c>
      <c r="G12" s="511">
        <f>'1stIA Resource Clearing Results'!H10</f>
        <v>122.95</v>
      </c>
      <c r="H12" s="535" t="s">
        <v>42</v>
      </c>
    </row>
    <row r="13" spans="1:8" ht="12.75">
      <c r="A13" s="564" t="s">
        <v>43</v>
      </c>
      <c r="B13" s="506">
        <f>'BRA Resource Clearing Results'!D11</f>
        <v>150</v>
      </c>
      <c r="C13" s="507">
        <f>'BRA Resource Clearing Results'!F11</f>
        <v>167.46</v>
      </c>
      <c r="D13" s="508">
        <f>'BRA Resource Clearing Results'!H11</f>
        <v>167.46</v>
      </c>
      <c r="E13" s="509">
        <f>'1stIA Resource Clearing Results'!D11</f>
        <v>111</v>
      </c>
      <c r="F13" s="510">
        <f>'1stIA Resource Clearing Results'!F11</f>
        <v>111</v>
      </c>
      <c r="G13" s="511">
        <f>'1stIA Resource Clearing Results'!H11</f>
        <v>111</v>
      </c>
      <c r="H13" s="535" t="s">
        <v>43</v>
      </c>
    </row>
    <row r="14" spans="1:8" ht="12.75">
      <c r="A14" s="564" t="s">
        <v>15</v>
      </c>
      <c r="B14" s="506">
        <f>'BRA Resource Clearing Results'!D12</f>
        <v>150</v>
      </c>
      <c r="C14" s="507">
        <f>'BRA Resource Clearing Results'!F12</f>
        <v>167.46</v>
      </c>
      <c r="D14" s="508">
        <f>'BRA Resource Clearing Results'!H12</f>
        <v>167.46</v>
      </c>
      <c r="E14" s="509">
        <f>'1stIA Resource Clearing Results'!D12</f>
        <v>111</v>
      </c>
      <c r="F14" s="510">
        <f>'1stIA Resource Clearing Results'!F12</f>
        <v>111</v>
      </c>
      <c r="G14" s="511">
        <f>'1stIA Resource Clearing Results'!H12</f>
        <v>111</v>
      </c>
      <c r="H14" s="560" t="s">
        <v>15</v>
      </c>
    </row>
    <row r="15" spans="1:8" ht="13.5" thickBot="1">
      <c r="A15" s="566" t="s">
        <v>51</v>
      </c>
      <c r="B15" s="513">
        <f>'BRA Resource Clearing Results'!D13</f>
        <v>304.62</v>
      </c>
      <c r="C15" s="514">
        <f>'BRA Resource Clearing Results'!F13</f>
        <v>322.08</v>
      </c>
      <c r="D15" s="515">
        <f>'BRA Resource Clearing Results'!H13</f>
        <v>357</v>
      </c>
      <c r="E15" s="516">
        <f>'1stIA Resource Clearing Results'!D13</f>
        <v>168.37</v>
      </c>
      <c r="F15" s="517">
        <f>'1stIA Resource Clearing Results'!F13</f>
        <v>168.37</v>
      </c>
      <c r="G15" s="518">
        <f>'1stIA Resource Clearing Results'!H13</f>
        <v>168.37</v>
      </c>
      <c r="H15" s="537" t="s">
        <v>51</v>
      </c>
    </row>
    <row r="17" spans="1:5" ht="15.75" thickBot="1">
      <c r="A17" s="308" t="s">
        <v>281</v>
      </c>
      <c r="B17" s="199"/>
      <c r="C17" s="199"/>
      <c r="D17" s="199"/>
      <c r="E17" s="199"/>
    </row>
    <row r="18" spans="1:10" ht="13.5" thickBot="1">
      <c r="A18" s="519"/>
      <c r="B18" s="617" t="s">
        <v>193</v>
      </c>
      <c r="C18" s="618"/>
      <c r="D18" s="618"/>
      <c r="E18" s="619"/>
      <c r="F18" s="620" t="s">
        <v>276</v>
      </c>
      <c r="G18" s="621"/>
      <c r="H18" s="621"/>
      <c r="I18" s="622"/>
      <c r="J18" s="520"/>
    </row>
    <row r="19" spans="1:10" ht="13.5" thickBot="1">
      <c r="A19" s="519"/>
      <c r="B19" s="623" t="s">
        <v>204</v>
      </c>
      <c r="C19" s="624"/>
      <c r="D19" s="624"/>
      <c r="E19" s="625"/>
      <c r="F19" s="626" t="s">
        <v>282</v>
      </c>
      <c r="G19" s="627"/>
      <c r="H19" s="627"/>
      <c r="I19" s="628"/>
      <c r="J19" s="520"/>
    </row>
    <row r="20" spans="1:10" ht="39" thickBot="1">
      <c r="A20" s="562" t="s">
        <v>3</v>
      </c>
      <c r="B20" s="570" t="s">
        <v>207</v>
      </c>
      <c r="C20" s="571" t="s">
        <v>208</v>
      </c>
      <c r="D20" s="571" t="s">
        <v>209</v>
      </c>
      <c r="E20" s="572" t="s">
        <v>283</v>
      </c>
      <c r="F20" s="567" t="s">
        <v>207</v>
      </c>
      <c r="G20" s="551" t="s">
        <v>208</v>
      </c>
      <c r="H20" s="551" t="s">
        <v>209</v>
      </c>
      <c r="I20" s="552" t="s">
        <v>283</v>
      </c>
      <c r="J20" s="533" t="s">
        <v>3</v>
      </c>
    </row>
    <row r="21" spans="1:10" ht="12.75">
      <c r="A21" s="563" t="s">
        <v>6</v>
      </c>
      <c r="B21" s="521">
        <f>'BRA Resource Clearing Results'!B18</f>
        <v>9247.2</v>
      </c>
      <c r="C21" s="522">
        <f>'BRA Resource Clearing Results'!C18</f>
        <v>5202.3</v>
      </c>
      <c r="D21" s="522">
        <f>'BRA Resource Clearing Results'!D18</f>
        <v>150111.7</v>
      </c>
      <c r="E21" s="523">
        <f>'BRA Resource Clearing Results'!E18</f>
        <v>164561.2</v>
      </c>
      <c r="F21" s="568">
        <f>'1stIA Resource Clearing Results'!J20</f>
        <v>1373.8999999999999</v>
      </c>
      <c r="G21" s="525">
        <f>'1stIA Resource Clearing Results'!K20</f>
        <v>1183.1</v>
      </c>
      <c r="H21" s="525">
        <f>'1stIA Resource Clearing Results'!L20</f>
        <v>-741.0999999999999</v>
      </c>
      <c r="I21" s="526">
        <f>'1stIA Resource Clearing Results'!M20</f>
        <v>1815.9</v>
      </c>
      <c r="J21" s="534" t="s">
        <v>6</v>
      </c>
    </row>
    <row r="22" spans="1:10" ht="12.75">
      <c r="A22" s="564" t="s">
        <v>30</v>
      </c>
      <c r="B22" s="521">
        <f>'BRA Resource Clearing Results'!B19</f>
        <v>3936.1</v>
      </c>
      <c r="C22" s="522">
        <f>'BRA Resource Clearing Results'!C19</f>
        <v>2677.9</v>
      </c>
      <c r="D22" s="522">
        <f>'BRA Resource Clearing Results'!D19</f>
        <v>59176.4</v>
      </c>
      <c r="E22" s="523">
        <f>'BRA Resource Clearing Results'!E19</f>
        <v>65790.4</v>
      </c>
      <c r="F22" s="568">
        <f>'1stIA Resource Clearing Results'!J21</f>
        <v>475</v>
      </c>
      <c r="G22" s="525">
        <f>'1stIA Resource Clearing Results'!K21</f>
        <v>549.5</v>
      </c>
      <c r="H22" s="525">
        <f>'1stIA Resource Clearing Results'!L21</f>
        <v>-224</v>
      </c>
      <c r="I22" s="526">
        <f>'1stIA Resource Clearing Results'!M21</f>
        <v>800.5</v>
      </c>
      <c r="J22" s="535" t="s">
        <v>30</v>
      </c>
    </row>
    <row r="23" spans="1:10" ht="12.75">
      <c r="A23" s="564" t="s">
        <v>41</v>
      </c>
      <c r="B23" s="521">
        <f>'BRA Resource Clearing Results'!B20</f>
        <v>1530.7</v>
      </c>
      <c r="C23" s="522">
        <f>'BRA Resource Clearing Results'!C20</f>
        <v>1057.1</v>
      </c>
      <c r="D23" s="522">
        <f>'BRA Resource Clearing Results'!D20</f>
        <v>30459.9</v>
      </c>
      <c r="E23" s="523">
        <f>'BRA Resource Clearing Results'!E20</f>
        <v>33047.700000000004</v>
      </c>
      <c r="F23" s="568">
        <f>'1stIA Resource Clearing Results'!J22</f>
        <v>378.5</v>
      </c>
      <c r="G23" s="525">
        <f>'1stIA Resource Clearing Results'!K22</f>
        <v>255.79999999999998</v>
      </c>
      <c r="H23" s="525">
        <f>'1stIA Resource Clearing Results'!L22</f>
        <v>411.2</v>
      </c>
      <c r="I23" s="526">
        <f>'1stIA Resource Clearing Results'!M22</f>
        <v>1045.5</v>
      </c>
      <c r="J23" s="535" t="s">
        <v>41</v>
      </c>
    </row>
    <row r="24" spans="1:10" ht="12.75">
      <c r="A24" s="564" t="s">
        <v>5</v>
      </c>
      <c r="B24" s="521">
        <f>'BRA Resource Clearing Results'!B21</f>
        <v>1286.3</v>
      </c>
      <c r="C24" s="522">
        <f>'BRA Resource Clearing Results'!C21</f>
        <v>721.1</v>
      </c>
      <c r="D24" s="522">
        <f>'BRA Resource Clearing Results'!D21</f>
        <v>8992.4</v>
      </c>
      <c r="E24" s="523">
        <f>'BRA Resource Clearing Results'!E21</f>
        <v>10999.8</v>
      </c>
      <c r="F24" s="568">
        <f>'1stIA Resource Clearing Results'!J23</f>
        <v>99.1</v>
      </c>
      <c r="G24" s="525">
        <f>'1stIA Resource Clearing Results'!K23</f>
        <v>112.8</v>
      </c>
      <c r="H24" s="525">
        <f>'1stIA Resource Clearing Results'!L23</f>
        <v>4.5</v>
      </c>
      <c r="I24" s="526">
        <f>'1stIA Resource Clearing Results'!M23</f>
        <v>216.39999999999998</v>
      </c>
      <c r="J24" s="535" t="s">
        <v>5</v>
      </c>
    </row>
    <row r="25" spans="1:10" ht="12.75">
      <c r="A25" s="564" t="s">
        <v>8</v>
      </c>
      <c r="B25" s="521">
        <f>'BRA Resource Clearing Results'!B22</f>
        <v>405.3</v>
      </c>
      <c r="C25" s="522">
        <f>'BRA Resource Clearing Results'!C22</f>
        <v>372.3</v>
      </c>
      <c r="D25" s="522">
        <f>'BRA Resource Clearing Results'!D22</f>
        <v>5952.2</v>
      </c>
      <c r="E25" s="523">
        <f>'BRA Resource Clearing Results'!E22</f>
        <v>6729.8</v>
      </c>
      <c r="F25" s="568">
        <f>'1stIA Resource Clearing Results'!J24</f>
        <v>117.89999999999999</v>
      </c>
      <c r="G25" s="525">
        <f>'1stIA Resource Clearing Results'!K24</f>
        <v>153.9</v>
      </c>
      <c r="H25" s="525">
        <f>'1stIA Resource Clearing Results'!L24</f>
        <v>-61.099999999999994</v>
      </c>
      <c r="I25" s="526">
        <f>'1stIA Resource Clearing Results'!M24</f>
        <v>210.70000000000002</v>
      </c>
      <c r="J25" s="535" t="s">
        <v>8</v>
      </c>
    </row>
    <row r="26" spans="1:10" ht="12.75">
      <c r="A26" s="564" t="s">
        <v>42</v>
      </c>
      <c r="B26" s="521">
        <f>'BRA Resource Clearing Results'!B23</f>
        <v>174.5</v>
      </c>
      <c r="C26" s="522">
        <f>'BRA Resource Clearing Results'!C23</f>
        <v>88.8</v>
      </c>
      <c r="D26" s="522">
        <f>'BRA Resource Clearing Results'!D23</f>
        <v>3377.9</v>
      </c>
      <c r="E26" s="523">
        <f>'BRA Resource Clearing Results'!E23</f>
        <v>3641.2000000000003</v>
      </c>
      <c r="F26" s="568">
        <f>'1stIA Resource Clearing Results'!J25</f>
        <v>66.5</v>
      </c>
      <c r="G26" s="525">
        <f>'1stIA Resource Clearing Results'!K25</f>
        <v>22.8</v>
      </c>
      <c r="H26" s="525">
        <f>'1stIA Resource Clearing Results'!L25</f>
        <v>-268.5</v>
      </c>
      <c r="I26" s="526">
        <f>'1stIA Resource Clearing Results'!M25</f>
        <v>-179.2</v>
      </c>
      <c r="J26" s="535" t="s">
        <v>42</v>
      </c>
    </row>
    <row r="27" spans="1:10" ht="12.75">
      <c r="A27" s="564" t="s">
        <v>43</v>
      </c>
      <c r="B27" s="521">
        <f>'BRA Resource Clearing Results'!B24</f>
        <v>76.4</v>
      </c>
      <c r="C27" s="522">
        <f>'BRA Resource Clearing Results'!C24</f>
        <v>9.9</v>
      </c>
      <c r="D27" s="522">
        <f>'BRA Resource Clearing Results'!D24</f>
        <v>1635.8</v>
      </c>
      <c r="E27" s="523">
        <f>'BRA Resource Clearing Results'!E24</f>
        <v>1722.1</v>
      </c>
      <c r="F27" s="568">
        <f>'1stIA Resource Clearing Results'!J26</f>
        <v>19.8</v>
      </c>
      <c r="G27" s="525">
        <f>'1stIA Resource Clearing Results'!K26</f>
        <v>1.6</v>
      </c>
      <c r="H27" s="525">
        <f>'1stIA Resource Clearing Results'!L26</f>
        <v>0</v>
      </c>
      <c r="I27" s="526">
        <f>'1stIA Resource Clearing Results'!M26</f>
        <v>21.400000000000002</v>
      </c>
      <c r="J27" s="535" t="s">
        <v>43</v>
      </c>
    </row>
    <row r="28" spans="1:10" ht="12.75">
      <c r="A28" s="565" t="s">
        <v>15</v>
      </c>
      <c r="B28" s="521">
        <f>'BRA Resource Clearing Results'!B25</f>
        <v>491.5</v>
      </c>
      <c r="C28" s="522">
        <f>'BRA Resource Clearing Results'!C25</f>
        <v>375.9</v>
      </c>
      <c r="D28" s="522">
        <f>'BRA Resource Clearing Results'!D25</f>
        <v>5268.3</v>
      </c>
      <c r="E28" s="523">
        <f>'BRA Resource Clearing Results'!E25</f>
        <v>6135.7</v>
      </c>
      <c r="F28" s="568">
        <f>'1stIA Resource Clearing Results'!J27</f>
        <v>65.1</v>
      </c>
      <c r="G28" s="525">
        <f>'1stIA Resource Clearing Results'!K27</f>
        <v>66.6</v>
      </c>
      <c r="H28" s="525">
        <f>'1stIA Resource Clearing Results'!L27</f>
        <v>659.3</v>
      </c>
      <c r="I28" s="526">
        <f>'1stIA Resource Clearing Results'!M27</f>
        <v>791</v>
      </c>
      <c r="J28" s="560" t="s">
        <v>15</v>
      </c>
    </row>
    <row r="29" spans="1:10" ht="13.5" thickBot="1">
      <c r="A29" s="566" t="s">
        <v>51</v>
      </c>
      <c r="B29" s="527">
        <f>'BRA Resource Clearing Results'!B26</f>
        <v>604.8</v>
      </c>
      <c r="C29" s="528">
        <f>'BRA Resource Clearing Results'!C26</f>
        <v>836.3</v>
      </c>
      <c r="D29" s="528">
        <f>'BRA Resource Clearing Results'!D26</f>
        <v>9226.5</v>
      </c>
      <c r="E29" s="529">
        <f>'BRA Resource Clearing Results'!E26</f>
        <v>10667.6</v>
      </c>
      <c r="F29" s="569">
        <f>'1stIA Resource Clearing Results'!J28</f>
        <v>377.5</v>
      </c>
      <c r="G29" s="530">
        <f>'1stIA Resource Clearing Results'!K28</f>
        <v>296.7</v>
      </c>
      <c r="H29" s="530">
        <f>'1stIA Resource Clearing Results'!L28</f>
        <v>-674.2</v>
      </c>
      <c r="I29" s="531">
        <f>'1stIA Resource Clearing Results'!M28</f>
        <v>0</v>
      </c>
      <c r="J29" s="537" t="s">
        <v>51</v>
      </c>
    </row>
    <row r="30" spans="1:10" ht="12.75">
      <c r="A30" s="532" t="s">
        <v>296</v>
      </c>
      <c r="B30" s="306"/>
      <c r="C30" s="306"/>
      <c r="D30" s="306"/>
      <c r="E30" s="306"/>
      <c r="F30" s="502"/>
      <c r="G30" s="502"/>
      <c r="H30" s="502"/>
      <c r="I30" s="306"/>
      <c r="J30" s="502"/>
    </row>
    <row r="31" spans="1:10" ht="12.75">
      <c r="A31" s="532" t="s">
        <v>299</v>
      </c>
      <c r="B31" s="306"/>
      <c r="C31" s="306"/>
      <c r="D31" s="306"/>
      <c r="E31" s="306"/>
      <c r="F31" s="502"/>
      <c r="G31" s="502"/>
      <c r="H31" s="502"/>
      <c r="I31" s="306"/>
      <c r="J31" s="502"/>
    </row>
    <row r="32" spans="1:10" ht="12.75">
      <c r="A32" s="312"/>
      <c r="B32" s="306"/>
      <c r="C32" s="306"/>
      <c r="D32" s="306"/>
      <c r="E32" s="306"/>
      <c r="F32" s="502"/>
      <c r="G32" s="502"/>
      <c r="H32" s="502"/>
      <c r="I32" s="306"/>
      <c r="J32" s="502"/>
    </row>
    <row r="33" spans="1:10" ht="15.75" thickBot="1">
      <c r="A33" s="308" t="s">
        <v>212</v>
      </c>
      <c r="B33" s="306"/>
      <c r="C33" s="306"/>
      <c r="D33" s="306"/>
      <c r="E33" s="306"/>
      <c r="F33" s="502"/>
      <c r="G33" s="502"/>
      <c r="H33" s="502"/>
      <c r="I33" s="306"/>
      <c r="J33" s="502"/>
    </row>
    <row r="34" spans="1:10" ht="15.75" thickBot="1">
      <c r="A34" s="308"/>
      <c r="B34" s="650" t="s">
        <v>193</v>
      </c>
      <c r="C34" s="651"/>
      <c r="D34" s="651"/>
      <c r="E34" s="652"/>
      <c r="F34" s="653" t="s">
        <v>276</v>
      </c>
      <c r="G34" s="654"/>
      <c r="H34" s="654"/>
      <c r="I34" s="655"/>
      <c r="J34" s="306"/>
    </row>
    <row r="35" spans="1:10" ht="15.75" thickBot="1">
      <c r="A35" s="308"/>
      <c r="B35" s="656" t="s">
        <v>284</v>
      </c>
      <c r="C35" s="657"/>
      <c r="D35" s="657"/>
      <c r="E35" s="658"/>
      <c r="F35" s="638" t="s">
        <v>285</v>
      </c>
      <c r="G35" s="639"/>
      <c r="H35" s="639"/>
      <c r="I35" s="640"/>
      <c r="J35" s="306"/>
    </row>
    <row r="36" spans="1:10" ht="64.5" thickBot="1">
      <c r="A36" s="503" t="s">
        <v>3</v>
      </c>
      <c r="B36" s="659"/>
      <c r="C36" s="660"/>
      <c r="D36" s="660"/>
      <c r="E36" s="660"/>
      <c r="F36" s="561" t="s">
        <v>137</v>
      </c>
      <c r="G36" s="551" t="s">
        <v>63</v>
      </c>
      <c r="H36" s="551" t="s">
        <v>61</v>
      </c>
      <c r="I36" s="552" t="s">
        <v>64</v>
      </c>
      <c r="J36" s="533" t="s">
        <v>3</v>
      </c>
    </row>
    <row r="37" spans="1:10" ht="12.75">
      <c r="A37" s="505" t="s">
        <v>6</v>
      </c>
      <c r="B37" s="659"/>
      <c r="C37" s="660"/>
      <c r="D37" s="660"/>
      <c r="E37" s="660"/>
      <c r="F37" s="524">
        <f>'1stIA Resource Clearing Results'!J34</f>
        <v>60.1</v>
      </c>
      <c r="G37" s="525">
        <f>'1stIA Resource Clearing Results'!K34</f>
        <v>0</v>
      </c>
      <c r="H37" s="525">
        <f>'1stIA Resource Clearing Results'!L34</f>
        <v>-1876</v>
      </c>
      <c r="I37" s="526">
        <f>'1stIA Resource Clearing Results'!M34</f>
        <v>-1815.9</v>
      </c>
      <c r="J37" s="534" t="s">
        <v>6</v>
      </c>
    </row>
    <row r="38" spans="1:10" ht="12.75">
      <c r="A38" s="504" t="s">
        <v>30</v>
      </c>
      <c r="B38" s="659"/>
      <c r="C38" s="660"/>
      <c r="D38" s="660"/>
      <c r="E38" s="660"/>
      <c r="F38" s="524">
        <f>'1stIA Resource Clearing Results'!J35</f>
        <v>60.1</v>
      </c>
      <c r="G38" s="525">
        <f>'1stIA Resource Clearing Results'!K35</f>
        <v>0</v>
      </c>
      <c r="H38" s="525">
        <f>'1stIA Resource Clearing Results'!L35</f>
        <v>-860.6</v>
      </c>
      <c r="I38" s="526">
        <f>'1stIA Resource Clearing Results'!M35</f>
        <v>-800.5</v>
      </c>
      <c r="J38" s="535" t="s">
        <v>30</v>
      </c>
    </row>
    <row r="39" spans="1:10" ht="12.75">
      <c r="A39" s="504" t="s">
        <v>41</v>
      </c>
      <c r="B39" s="659"/>
      <c r="C39" s="660"/>
      <c r="D39" s="660"/>
      <c r="E39" s="660"/>
      <c r="F39" s="524">
        <f>'1stIA Resource Clearing Results'!J36</f>
        <v>60.1</v>
      </c>
      <c r="G39" s="525">
        <f>'1stIA Resource Clearing Results'!K36</f>
        <v>0</v>
      </c>
      <c r="H39" s="525">
        <f>'1stIA Resource Clearing Results'!L36</f>
        <v>-476.6</v>
      </c>
      <c r="I39" s="526">
        <f>'1stIA Resource Clearing Results'!M36</f>
        <v>-416.5</v>
      </c>
      <c r="J39" s="535" t="s">
        <v>41</v>
      </c>
    </row>
    <row r="40" spans="1:10" ht="12.75">
      <c r="A40" s="504" t="s">
        <v>5</v>
      </c>
      <c r="B40" s="659"/>
      <c r="C40" s="660"/>
      <c r="D40" s="660"/>
      <c r="E40" s="660"/>
      <c r="F40" s="524">
        <f>'1stIA Resource Clearing Results'!J37</f>
        <v>0</v>
      </c>
      <c r="G40" s="525">
        <f>'1stIA Resource Clearing Results'!K37</f>
        <v>0</v>
      </c>
      <c r="H40" s="525">
        <f>'1stIA Resource Clearing Results'!L37</f>
        <v>-41.2</v>
      </c>
      <c r="I40" s="526">
        <f>'1stIA Resource Clearing Results'!M37</f>
        <v>-41.2</v>
      </c>
      <c r="J40" s="535" t="s">
        <v>5</v>
      </c>
    </row>
    <row r="41" spans="1:10" ht="12.75">
      <c r="A41" s="504" t="s">
        <v>8</v>
      </c>
      <c r="B41" s="659"/>
      <c r="C41" s="660"/>
      <c r="D41" s="660"/>
      <c r="E41" s="660"/>
      <c r="F41" s="524">
        <f>'1stIA Resource Clearing Results'!J38</f>
        <v>0</v>
      </c>
      <c r="G41" s="525">
        <f>'1stIA Resource Clearing Results'!K38</f>
        <v>0</v>
      </c>
      <c r="H41" s="525">
        <f>'1stIA Resource Clearing Results'!L38</f>
        <v>-197.3</v>
      </c>
      <c r="I41" s="526">
        <f>'1stIA Resource Clearing Results'!M38</f>
        <v>-197.3</v>
      </c>
      <c r="J41" s="535" t="s">
        <v>8</v>
      </c>
    </row>
    <row r="42" spans="1:10" ht="12.75">
      <c r="A42" s="504" t="s">
        <v>42</v>
      </c>
      <c r="B42" s="659"/>
      <c r="C42" s="660"/>
      <c r="D42" s="660"/>
      <c r="E42" s="660"/>
      <c r="F42" s="524">
        <f>'1stIA Resource Clearing Results'!J39</f>
        <v>0</v>
      </c>
      <c r="G42" s="525">
        <f>'1stIA Resource Clearing Results'!K39</f>
        <v>0</v>
      </c>
      <c r="H42" s="525">
        <f>'1stIA Resource Clearing Results'!L39</f>
        <v>-25.3</v>
      </c>
      <c r="I42" s="526">
        <f>'1stIA Resource Clearing Results'!M39</f>
        <v>-25.3</v>
      </c>
      <c r="J42" s="535" t="s">
        <v>42</v>
      </c>
    </row>
    <row r="43" spans="1:10" ht="12.75">
      <c r="A43" s="504" t="s">
        <v>43</v>
      </c>
      <c r="B43" s="659"/>
      <c r="C43" s="660"/>
      <c r="D43" s="660"/>
      <c r="E43" s="660"/>
      <c r="F43" s="524">
        <f>'1stIA Resource Clearing Results'!J40</f>
        <v>60.1</v>
      </c>
      <c r="G43" s="525">
        <f>'1stIA Resource Clearing Results'!K40</f>
        <v>0</v>
      </c>
      <c r="H43" s="525">
        <f>'1stIA Resource Clearing Results'!L40</f>
        <v>0</v>
      </c>
      <c r="I43" s="526">
        <f>'1stIA Resource Clearing Results'!M40</f>
        <v>60.1</v>
      </c>
      <c r="J43" s="535" t="s">
        <v>43</v>
      </c>
    </row>
    <row r="44" spans="1:10" ht="12.75">
      <c r="A44" s="559" t="s">
        <v>15</v>
      </c>
      <c r="B44" s="659"/>
      <c r="C44" s="660"/>
      <c r="D44" s="660"/>
      <c r="E44" s="660"/>
      <c r="F44" s="524">
        <f>'1stIA Resource Clearing Results'!J41</f>
        <v>0</v>
      </c>
      <c r="G44" s="525">
        <f>'1stIA Resource Clearing Results'!K41</f>
        <v>0</v>
      </c>
      <c r="H44" s="525">
        <f>'1stIA Resource Clearing Results'!L41</f>
        <v>0</v>
      </c>
      <c r="I44" s="526">
        <f>'1stIA Resource Clearing Results'!M41</f>
        <v>0</v>
      </c>
      <c r="J44" s="560" t="s">
        <v>15</v>
      </c>
    </row>
    <row r="45" spans="1:10" ht="13.5" thickBot="1">
      <c r="A45" s="512" t="s">
        <v>51</v>
      </c>
      <c r="B45" s="661"/>
      <c r="C45" s="662"/>
      <c r="D45" s="662"/>
      <c r="E45" s="662"/>
      <c r="F45" s="536">
        <f>'1stIA Resource Clearing Results'!J42</f>
        <v>0</v>
      </c>
      <c r="G45" s="530">
        <f>'1stIA Resource Clearing Results'!K42</f>
        <v>0</v>
      </c>
      <c r="H45" s="530">
        <f>'1stIA Resource Clearing Results'!L42</f>
        <v>0</v>
      </c>
      <c r="I45" s="531">
        <f>'1stIA Resource Clearing Results'!M42</f>
        <v>0</v>
      </c>
      <c r="J45" s="537" t="s">
        <v>51</v>
      </c>
    </row>
    <row r="46" spans="1:10" ht="12.75">
      <c r="A46" s="532" t="s">
        <v>297</v>
      </c>
      <c r="B46" s="306"/>
      <c r="C46" s="306"/>
      <c r="D46" s="306"/>
      <c r="E46" s="306"/>
      <c r="F46" s="502"/>
      <c r="G46" s="502"/>
      <c r="H46" s="502"/>
      <c r="I46" s="306"/>
      <c r="J46" s="502"/>
    </row>
    <row r="47" spans="1:10" ht="12.75">
      <c r="A47" s="532" t="s">
        <v>298</v>
      </c>
      <c r="B47" s="306"/>
      <c r="C47" s="306"/>
      <c r="D47" s="306"/>
      <c r="E47" s="306"/>
      <c r="F47" s="502"/>
      <c r="G47" s="502"/>
      <c r="H47" s="502"/>
      <c r="I47" s="306"/>
      <c r="J47" s="502"/>
    </row>
    <row r="48" spans="1:10" ht="12.75">
      <c r="A48" s="312"/>
      <c r="B48" s="306"/>
      <c r="C48" s="306"/>
      <c r="D48" s="306"/>
      <c r="E48" s="306"/>
      <c r="F48" s="502"/>
      <c r="G48" s="502"/>
      <c r="H48" s="502"/>
      <c r="I48" s="306"/>
      <c r="J48" s="502"/>
    </row>
    <row r="49" spans="1:6" ht="15.75" thickBot="1">
      <c r="A49" s="308" t="s">
        <v>194</v>
      </c>
      <c r="B49" s="309"/>
      <c r="C49" s="309"/>
      <c r="D49" s="309"/>
      <c r="E49" s="309"/>
      <c r="F49" s="311"/>
    </row>
    <row r="50" spans="1:9" ht="13.5" thickBot="1">
      <c r="A50" s="519"/>
      <c r="B50" s="641" t="s">
        <v>193</v>
      </c>
      <c r="C50" s="642"/>
      <c r="D50" s="642"/>
      <c r="E50" s="643"/>
      <c r="F50" s="644" t="s">
        <v>276</v>
      </c>
      <c r="G50" s="645"/>
      <c r="H50" s="645"/>
      <c r="I50" s="646"/>
    </row>
    <row r="51" spans="1:9" ht="78.75" thickBot="1">
      <c r="A51" s="577" t="s">
        <v>7</v>
      </c>
      <c r="B51" s="570" t="s">
        <v>286</v>
      </c>
      <c r="C51" s="571" t="s">
        <v>287</v>
      </c>
      <c r="D51" s="571" t="s">
        <v>195</v>
      </c>
      <c r="E51" s="572" t="s">
        <v>288</v>
      </c>
      <c r="F51" s="580" t="s">
        <v>289</v>
      </c>
      <c r="G51" s="581" t="s">
        <v>290</v>
      </c>
      <c r="H51" s="581" t="s">
        <v>291</v>
      </c>
      <c r="I51" s="581" t="s">
        <v>292</v>
      </c>
    </row>
    <row r="52" spans="1:9" ht="12.75">
      <c r="A52" s="564" t="s">
        <v>16</v>
      </c>
      <c r="B52" s="540">
        <f>'BRA Load Pricing Results'!K35</f>
        <v>3076.731780835372</v>
      </c>
      <c r="C52" s="541">
        <f>'BRA Load Pricing Results'!L35</f>
        <v>166.08216466717332</v>
      </c>
      <c r="D52" s="541">
        <f>'BRA CTRs'!U18</f>
        <v>0.30199199376458724</v>
      </c>
      <c r="E52" s="578">
        <f>C52-D52</f>
        <v>165.78017267340874</v>
      </c>
      <c r="F52" s="538">
        <f>'1st IA Load Pricing Results'!K36</f>
        <v>3074.4704011261065</v>
      </c>
      <c r="G52" s="596">
        <f>'1st IA Load Pricing Results'!L36</f>
        <v>166.72973410653466</v>
      </c>
      <c r="H52" s="539">
        <f>'1st IA CTRs'!U18</f>
        <v>0.3323200905637706</v>
      </c>
      <c r="I52" s="582">
        <f>G52-H52</f>
        <v>166.3974140159709</v>
      </c>
    </row>
    <row r="53" spans="1:9" ht="12.75">
      <c r="A53" s="564" t="s">
        <v>57</v>
      </c>
      <c r="B53" s="540">
        <f>'BRA Load Pricing Results'!K36</f>
        <v>13078.959258298051</v>
      </c>
      <c r="C53" s="541">
        <f>'BRA Load Pricing Results'!L36</f>
        <v>134.62216466717334</v>
      </c>
      <c r="D53" s="541">
        <f>'BRA CTRs'!U19</f>
        <v>0</v>
      </c>
      <c r="E53" s="578">
        <f>C53-D53</f>
        <v>134.62216466717334</v>
      </c>
      <c r="F53" s="542">
        <f>'1st IA Load Pricing Results'!K37</f>
        <v>13054.18896815917</v>
      </c>
      <c r="G53" s="510">
        <f>'1st IA Load Pricing Results'!L37</f>
        <v>135.71980819496997</v>
      </c>
      <c r="H53" s="543">
        <f>'1st IA CTRs'!U19</f>
        <v>0</v>
      </c>
      <c r="I53" s="583">
        <f>G53-H53</f>
        <v>135.71980819496997</v>
      </c>
    </row>
    <row r="54" spans="1:9" ht="12.75">
      <c r="A54" s="564" t="s">
        <v>19</v>
      </c>
      <c r="B54" s="540">
        <f>'BRA Load Pricing Results'!K37</f>
        <v>9846.666646307867</v>
      </c>
      <c r="C54" s="541">
        <f>'BRA Load Pricing Results'!L37</f>
        <v>134.62216466717334</v>
      </c>
      <c r="D54" s="541">
        <f>'BRA CTRs'!U20</f>
        <v>0</v>
      </c>
      <c r="E54" s="578">
        <f>C54-D54</f>
        <v>134.62216466717334</v>
      </c>
      <c r="F54" s="542">
        <f>'1st IA Load Pricing Results'!K38</f>
        <v>9728.989238235037</v>
      </c>
      <c r="G54" s="510">
        <f>'1st IA Load Pricing Results'!L38</f>
        <v>135.71980819496997</v>
      </c>
      <c r="H54" s="543">
        <f>'1st IA CTRs'!U20</f>
        <v>0</v>
      </c>
      <c r="I54" s="583">
        <f>G54-H54</f>
        <v>135.71980819496997</v>
      </c>
    </row>
    <row r="55" spans="1:9" ht="12.75">
      <c r="A55" s="564" t="s">
        <v>51</v>
      </c>
      <c r="B55" s="540">
        <f>'BRA Load Pricing Results'!K38</f>
        <v>14940.429536115023</v>
      </c>
      <c r="C55" s="541">
        <f>'BRA Load Pricing Results'!L38</f>
        <v>342.3029412191384</v>
      </c>
      <c r="D55" s="541">
        <f>'BRA CTRs'!U21</f>
        <v>48.274583277497825</v>
      </c>
      <c r="E55" s="578">
        <f aca="true" t="shared" si="0" ref="E55:E69">C55-D55</f>
        <v>294.0283579416406</v>
      </c>
      <c r="F55" s="542">
        <f>'1st IA Load Pricing Results'!K39</f>
        <v>14786.182482815933</v>
      </c>
      <c r="G55" s="510">
        <f>'1st IA Load Pricing Results'!L39</f>
        <v>343.7116489541744</v>
      </c>
      <c r="H55" s="543">
        <f>'1st IA CTRs'!U21</f>
        <v>47.744493903874435</v>
      </c>
      <c r="I55" s="583">
        <f>G55-H55</f>
        <v>295.96715505029994</v>
      </c>
    </row>
    <row r="56" spans="1:9" ht="12.75">
      <c r="A56" s="564" t="s">
        <v>11</v>
      </c>
      <c r="B56" s="540">
        <f>'BRA Load Pricing Results'!K39</f>
        <v>8209.867837856144</v>
      </c>
      <c r="C56" s="541">
        <f>'BRA Load Pricing Results'!L39</f>
        <v>166.08216466717332</v>
      </c>
      <c r="D56" s="541">
        <f>'BRA CTRs'!U22</f>
        <v>0.30199199376458724</v>
      </c>
      <c r="E56" s="578">
        <f t="shared" si="0"/>
        <v>165.78017267340874</v>
      </c>
      <c r="F56" s="542">
        <f>'1st IA Load Pricing Results'!K40</f>
        <v>8090.455745506085</v>
      </c>
      <c r="G56" s="510">
        <f>'1st IA Load Pricing Results'!L40</f>
        <v>166.72973410653466</v>
      </c>
      <c r="H56" s="543">
        <f>'1st IA CTRs'!U22</f>
        <v>0.33232009056377065</v>
      </c>
      <c r="I56" s="583">
        <f>G56-H56</f>
        <v>166.3974140159709</v>
      </c>
    </row>
    <row r="57" spans="1:9" ht="12.75">
      <c r="A57" s="564" t="s">
        <v>20</v>
      </c>
      <c r="B57" s="540">
        <f>'BRA Load Pricing Results'!K40</f>
        <v>26507.141115840546</v>
      </c>
      <c r="C57" s="541">
        <f>'BRA Load Pricing Results'!L40</f>
        <v>134.62216466717334</v>
      </c>
      <c r="D57" s="541">
        <f>'BRA CTRs'!U23</f>
        <v>0</v>
      </c>
      <c r="E57" s="578">
        <f t="shared" si="0"/>
        <v>134.62216466717334</v>
      </c>
      <c r="F57" s="542">
        <f>'1st IA Load Pricing Results'!K41</f>
        <v>25875.893617549114</v>
      </c>
      <c r="G57" s="510">
        <f>'1st IA Load Pricing Results'!L41</f>
        <v>135.71980819496997</v>
      </c>
      <c r="H57" s="543">
        <f>'1st IA CTRs'!U23</f>
        <v>0</v>
      </c>
      <c r="I57" s="583">
        <f aca="true" t="shared" si="1" ref="I57:I68">G57-H57</f>
        <v>135.71980819496997</v>
      </c>
    </row>
    <row r="58" spans="1:9" ht="12.75">
      <c r="A58" s="564" t="s">
        <v>21</v>
      </c>
      <c r="B58" s="540">
        <f>'BRA Load Pricing Results'!K41</f>
        <v>3935.0668260921884</v>
      </c>
      <c r="C58" s="541">
        <f>'BRA Load Pricing Results'!L41</f>
        <v>134.62216466717334</v>
      </c>
      <c r="D58" s="541">
        <f>'BRA CTRs'!U24</f>
        <v>0</v>
      </c>
      <c r="E58" s="578">
        <f t="shared" si="0"/>
        <v>134.62216466717334</v>
      </c>
      <c r="F58" s="542">
        <f>'1st IA Load Pricing Results'!K42</f>
        <v>3909.4178316837224</v>
      </c>
      <c r="G58" s="510">
        <f>'1st IA Load Pricing Results'!L42</f>
        <v>135.71980819496997</v>
      </c>
      <c r="H58" s="543">
        <f>'1st IA CTRs'!U24</f>
        <v>0</v>
      </c>
      <c r="I58" s="583">
        <f t="shared" si="1"/>
        <v>135.71980819496997</v>
      </c>
    </row>
    <row r="59" spans="1:9" ht="12.75">
      <c r="A59" s="564" t="s">
        <v>65</v>
      </c>
      <c r="B59" s="540">
        <f>'BRA Load Pricing Results'!K42</f>
        <v>5357.667141010116</v>
      </c>
      <c r="C59" s="541">
        <f>'BRA Load Pricing Results'!L42</f>
        <v>134.62216466717334</v>
      </c>
      <c r="D59" s="541">
        <f>'BRA CTRs'!U25</f>
        <v>0</v>
      </c>
      <c r="E59" s="578">
        <f>C59-D59</f>
        <v>134.62216466717334</v>
      </c>
      <c r="F59" s="542">
        <f>'1st IA Load Pricing Results'!K43</f>
        <v>5170.090552527055</v>
      </c>
      <c r="G59" s="510">
        <f>'1st IA Load Pricing Results'!L43</f>
        <v>135.71980819496997</v>
      </c>
      <c r="H59" s="543">
        <f>'1st IA CTRs'!U25</f>
        <v>0</v>
      </c>
      <c r="I59" s="583">
        <f>G59-H59</f>
        <v>135.71980819496997</v>
      </c>
    </row>
    <row r="60" spans="1:9" ht="12.75">
      <c r="A60" s="564" t="s">
        <v>50</v>
      </c>
      <c r="B60" s="540">
        <f>'BRA Load Pricing Results'!K43</f>
        <v>3339.969527349258</v>
      </c>
      <c r="C60" s="541">
        <f>'BRA Load Pricing Results'!L43</f>
        <v>134.62216466717334</v>
      </c>
      <c r="D60" s="541">
        <f>'BRA CTRs'!U26</f>
        <v>0</v>
      </c>
      <c r="E60" s="578">
        <f t="shared" si="0"/>
        <v>134.62216466717334</v>
      </c>
      <c r="F60" s="542">
        <f>'1st IA Load Pricing Results'!K44</f>
        <v>3319.2119563033652</v>
      </c>
      <c r="G60" s="510">
        <f>'1st IA Load Pricing Results'!L44</f>
        <v>135.71980819496997</v>
      </c>
      <c r="H60" s="543">
        <f>'1st IA CTRs'!U26</f>
        <v>0</v>
      </c>
      <c r="I60" s="583">
        <f t="shared" si="1"/>
        <v>135.71980819496997</v>
      </c>
    </row>
    <row r="61" spans="1:9" ht="12.75">
      <c r="A61" s="564" t="s">
        <v>33</v>
      </c>
      <c r="B61" s="540">
        <f>'BRA Load Pricing Results'!K44</f>
        <v>22882.559836918583</v>
      </c>
      <c r="C61" s="541">
        <f>'BRA Load Pricing Results'!L44</f>
        <v>134.62216466717334</v>
      </c>
      <c r="D61" s="541">
        <f>'BRA CTRs'!U27</f>
        <v>0</v>
      </c>
      <c r="E61" s="578">
        <f t="shared" si="0"/>
        <v>134.62216466717334</v>
      </c>
      <c r="F61" s="542">
        <f>'1st IA Load Pricing Results'!K45</f>
        <v>22480.504007363925</v>
      </c>
      <c r="G61" s="510">
        <f>'1st IA Load Pricing Results'!L45</f>
        <v>135.71980819496997</v>
      </c>
      <c r="H61" s="543">
        <f>'1st IA CTRs'!U27</f>
        <v>0</v>
      </c>
      <c r="I61" s="583">
        <f t="shared" si="1"/>
        <v>135.71980819496997</v>
      </c>
    </row>
    <row r="62" spans="1:9" ht="12.75">
      <c r="A62" s="564" t="s">
        <v>17</v>
      </c>
      <c r="B62" s="540">
        <f>'BRA Load Pricing Results'!K45</f>
        <v>4696.656374766977</v>
      </c>
      <c r="C62" s="541">
        <f>'BRA Load Pricing Results'!L45</f>
        <v>166.08216466717332</v>
      </c>
      <c r="D62" s="541">
        <f>'BRA CTRs'!U28</f>
        <v>0.3019919937645872</v>
      </c>
      <c r="E62" s="578">
        <f t="shared" si="0"/>
        <v>165.78017267340874</v>
      </c>
      <c r="F62" s="542">
        <f>'1st IA Load Pricing Results'!K46</f>
        <v>4662.979140424058</v>
      </c>
      <c r="G62" s="510">
        <f>'1st IA Load Pricing Results'!L46</f>
        <v>166.72973410653466</v>
      </c>
      <c r="H62" s="543">
        <f>'1st IA CTRs'!U28</f>
        <v>0.33232009056377065</v>
      </c>
      <c r="I62" s="583">
        <f t="shared" si="1"/>
        <v>166.3974140159709</v>
      </c>
    </row>
    <row r="63" spans="1:9" ht="12.75">
      <c r="A63" s="564" t="s">
        <v>12</v>
      </c>
      <c r="B63" s="540">
        <f>'BRA Load Pricing Results'!K46</f>
        <v>7142.29253254983</v>
      </c>
      <c r="C63" s="541">
        <f>'BRA Load Pricing Results'!L46</f>
        <v>166.08216466717332</v>
      </c>
      <c r="D63" s="541">
        <f>'BRA CTRs'!U29</f>
        <v>0.3019919937645872</v>
      </c>
      <c r="E63" s="578">
        <f t="shared" si="0"/>
        <v>165.78017267340874</v>
      </c>
      <c r="F63" s="542">
        <f>'1st IA Load Pricing Results'!K47</f>
        <v>7054.881676263059</v>
      </c>
      <c r="G63" s="510">
        <f>'1st IA Load Pricing Results'!L47</f>
        <v>166.72973410653466</v>
      </c>
      <c r="H63" s="543">
        <f>'1st IA CTRs'!U29</f>
        <v>0.3323200905637706</v>
      </c>
      <c r="I63" s="583">
        <f t="shared" si="1"/>
        <v>166.3974140159709</v>
      </c>
    </row>
    <row r="64" spans="1:9" ht="12.75">
      <c r="A64" s="564" t="s">
        <v>13</v>
      </c>
      <c r="B64" s="540">
        <f>'BRA Load Pricing Results'!K47</f>
        <v>3443.4647097393326</v>
      </c>
      <c r="C64" s="541">
        <f>'BRA Load Pricing Results'!L47</f>
        <v>166.08216466717332</v>
      </c>
      <c r="D64" s="541">
        <f>'BRA CTRs'!U30</f>
        <v>0.30199199376458724</v>
      </c>
      <c r="E64" s="578">
        <f t="shared" si="0"/>
        <v>165.78017267340874</v>
      </c>
      <c r="F64" s="542">
        <f>'1st IA Load Pricing Results'!K48</f>
        <v>3379.7443709594063</v>
      </c>
      <c r="G64" s="510">
        <f>'1st IA Load Pricing Results'!L48</f>
        <v>166.72973410653466</v>
      </c>
      <c r="H64" s="543">
        <f>'1st IA CTRs'!U30</f>
        <v>0.33232009056377065</v>
      </c>
      <c r="I64" s="583">
        <f t="shared" si="1"/>
        <v>166.3974140159709</v>
      </c>
    </row>
    <row r="65" spans="1:9" ht="12.75">
      <c r="A65" s="564" t="s">
        <v>9</v>
      </c>
      <c r="B65" s="540">
        <f>'BRA Load Pricing Results'!K48</f>
        <v>10098.654916475009</v>
      </c>
      <c r="C65" s="541">
        <f>'BRA Load Pricing Results'!L48</f>
        <v>166.08216466717332</v>
      </c>
      <c r="D65" s="541">
        <f>'BRA CTRs'!U31</f>
        <v>0.30199199376458724</v>
      </c>
      <c r="E65" s="578">
        <f t="shared" si="0"/>
        <v>165.78017267340874</v>
      </c>
      <c r="F65" s="542">
        <f>'1st IA Load Pricing Results'!K49</f>
        <v>9854.236053315308</v>
      </c>
      <c r="G65" s="510">
        <f>'1st IA Load Pricing Results'!L49</f>
        <v>166.72973410653466</v>
      </c>
      <c r="H65" s="543">
        <f>'1st IA CTRs'!U31</f>
        <v>0.3323200905637706</v>
      </c>
      <c r="I65" s="583">
        <f t="shared" si="1"/>
        <v>166.3974140159709</v>
      </c>
    </row>
    <row r="66" spans="1:9" ht="12.75">
      <c r="A66" s="564" t="s">
        <v>14</v>
      </c>
      <c r="B66" s="540">
        <f>'BRA Load Pricing Results'!K49</f>
        <v>3407.4663854297414</v>
      </c>
      <c r="C66" s="541">
        <f>'BRA Load Pricing Results'!L49</f>
        <v>166.08216466717332</v>
      </c>
      <c r="D66" s="541">
        <f>'BRA CTRs'!U32</f>
        <v>0.30199199376458724</v>
      </c>
      <c r="E66" s="578">
        <f t="shared" si="0"/>
        <v>165.78017267340874</v>
      </c>
      <c r="F66" s="542">
        <f>'1st IA Load Pricing Results'!K50</f>
        <v>3334.872520699861</v>
      </c>
      <c r="G66" s="510">
        <f>'1st IA Load Pricing Results'!L50</f>
        <v>166.72973410653466</v>
      </c>
      <c r="H66" s="543">
        <f>'1st IA CTRs'!U32</f>
        <v>0.33232009056377065</v>
      </c>
      <c r="I66" s="583">
        <f>G66-H66</f>
        <v>166.3974140159709</v>
      </c>
    </row>
    <row r="67" spans="1:9" ht="12.75">
      <c r="A67" s="564" t="s">
        <v>15</v>
      </c>
      <c r="B67" s="540">
        <f>'BRA Load Pricing Results'!K50</f>
        <v>7709.26614042589</v>
      </c>
      <c r="C67" s="541">
        <f>'BRA Load Pricing Results'!L50</f>
        <v>166.08216466717332</v>
      </c>
      <c r="D67" s="541">
        <f>'BRA CTRs'!U33</f>
        <v>0.30199199376458724</v>
      </c>
      <c r="E67" s="578">
        <f t="shared" si="0"/>
        <v>165.78017267340874</v>
      </c>
      <c r="F67" s="542">
        <f>'1st IA Load Pricing Results'!K51</f>
        <v>7582.696977784699</v>
      </c>
      <c r="G67" s="510">
        <f>'1st IA Load Pricing Results'!L51</f>
        <v>166.72973410653466</v>
      </c>
      <c r="H67" s="543">
        <f>'1st IA CTRs'!U33</f>
        <v>0.3323200905637706</v>
      </c>
      <c r="I67" s="583">
        <f t="shared" si="1"/>
        <v>166.3974140159709</v>
      </c>
    </row>
    <row r="68" spans="1:9" ht="12.75">
      <c r="A68" s="564" t="s">
        <v>10</v>
      </c>
      <c r="B68" s="540">
        <f>'BRA Load Pricing Results'!K51</f>
        <v>8531.602861373114</v>
      </c>
      <c r="C68" s="541">
        <f>'BRA Load Pricing Results'!L51</f>
        <v>166.08216466717332</v>
      </c>
      <c r="D68" s="541">
        <f>'BRA CTRs'!U34</f>
        <v>0.30199199376458724</v>
      </c>
      <c r="E68" s="578">
        <f t="shared" si="0"/>
        <v>165.78017267340874</v>
      </c>
      <c r="F68" s="542">
        <f>'1st IA Load Pricing Results'!K52</f>
        <v>8391.547729571197</v>
      </c>
      <c r="G68" s="510">
        <f>'1st IA Load Pricing Results'!L52</f>
        <v>166.72973410653466</v>
      </c>
      <c r="H68" s="543">
        <f>'1st IA CTRs'!U34</f>
        <v>0.33232009056377065</v>
      </c>
      <c r="I68" s="583">
        <f t="shared" si="1"/>
        <v>166.3974140159709</v>
      </c>
    </row>
    <row r="69" spans="1:9" ht="12.75">
      <c r="A69" s="564" t="s">
        <v>8</v>
      </c>
      <c r="B69" s="540">
        <f>'BRA Load Pricing Results'!K52</f>
        <v>11951.443670784276</v>
      </c>
      <c r="C69" s="541">
        <f>'BRA Load Pricing Results'!L52</f>
        <v>166.08216466717332</v>
      </c>
      <c r="D69" s="541">
        <f>'BRA CTRs'!U35</f>
        <v>0.30199199376458724</v>
      </c>
      <c r="E69" s="578">
        <f t="shared" si="0"/>
        <v>165.78017267340874</v>
      </c>
      <c r="F69" s="542">
        <f>'1st IA Load Pricing Results'!K53</f>
        <v>11787.402350203523</v>
      </c>
      <c r="G69" s="510">
        <f>'1st IA Load Pricing Results'!L53</f>
        <v>166.34350517922874</v>
      </c>
      <c r="H69" s="543">
        <f>'1st IA CTRs'!U35</f>
        <v>0.1672578231755961</v>
      </c>
      <c r="I69" s="583">
        <f>G69-H69</f>
        <v>166.17624735605315</v>
      </c>
    </row>
    <row r="70" spans="1:9" ht="13.5" thickBot="1">
      <c r="A70" s="566" t="s">
        <v>18</v>
      </c>
      <c r="B70" s="544">
        <f>'BRA Load Pricing Results'!K53</f>
        <v>474.72790183273383</v>
      </c>
      <c r="C70" s="545">
        <f>'BRA Load Pricing Results'!L53</f>
        <v>166.08216466717332</v>
      </c>
      <c r="D70" s="545">
        <f>'BRA CTRs'!U36</f>
        <v>0.30199199376458724</v>
      </c>
      <c r="E70" s="579">
        <f>C70-D70</f>
        <v>165.78017267340874</v>
      </c>
      <c r="F70" s="546">
        <f>'1st IA Load Pricing Results'!K54</f>
        <v>463.0823795094074</v>
      </c>
      <c r="G70" s="517">
        <f>'1st IA Load Pricing Results'!L54</f>
        <v>166.72973410653466</v>
      </c>
      <c r="H70" s="547">
        <f>'1st IA CTRs'!U36</f>
        <v>0.3323200905637706</v>
      </c>
      <c r="I70" s="584">
        <f>G70-H70</f>
        <v>166.3974140159709</v>
      </c>
    </row>
    <row r="71" spans="2:6" ht="12.75">
      <c r="B71" s="548">
        <f>SUM(B52:B70)</f>
        <v>168630.63500000004</v>
      </c>
      <c r="C71" s="41"/>
      <c r="D71" s="41"/>
      <c r="E71" s="41"/>
      <c r="F71" s="549">
        <f>SUM(F52:F70)</f>
        <v>166000.84800000003</v>
      </c>
    </row>
    <row r="72" spans="2:6" ht="12.75">
      <c r="B72" s="550"/>
      <c r="C72" s="41"/>
      <c r="D72" s="41"/>
      <c r="E72" s="41"/>
      <c r="F72" s="550"/>
    </row>
    <row r="73" spans="1:9" ht="30" customHeight="1">
      <c r="A73" s="647" t="s">
        <v>295</v>
      </c>
      <c r="B73" s="647"/>
      <c r="C73" s="647"/>
      <c r="D73" s="647"/>
      <c r="E73" s="647"/>
      <c r="F73" s="647"/>
      <c r="G73" s="647"/>
      <c r="H73" s="647"/>
      <c r="I73" s="647"/>
    </row>
    <row r="74" spans="1:9" ht="12.75">
      <c r="A74" s="648" t="s">
        <v>196</v>
      </c>
      <c r="B74" s="649"/>
      <c r="C74" s="649"/>
      <c r="D74" s="649"/>
      <c r="E74" s="649"/>
      <c r="F74" s="649"/>
      <c r="G74" s="649"/>
      <c r="H74" s="649"/>
      <c r="I74" s="649"/>
    </row>
  </sheetData>
  <sheetProtection/>
  <mergeCells count="16">
    <mergeCell ref="B50:E50"/>
    <mergeCell ref="F50:I50"/>
    <mergeCell ref="A73:I73"/>
    <mergeCell ref="A74:I74"/>
    <mergeCell ref="B34:E34"/>
    <mergeCell ref="F34:I34"/>
    <mergeCell ref="B35:E45"/>
    <mergeCell ref="F35:I35"/>
    <mergeCell ref="B18:E18"/>
    <mergeCell ref="F18:I18"/>
    <mergeCell ref="B19:E19"/>
    <mergeCell ref="F19:I19"/>
    <mergeCell ref="B4:D4"/>
    <mergeCell ref="E4:G4"/>
    <mergeCell ref="B5:D5"/>
    <mergeCell ref="E5:G5"/>
  </mergeCells>
  <printOptions/>
  <pageMargins left="0.45" right="0.45" top="0.5" bottom="0.5" header="0.3" footer="0.3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7109375" style="6" customWidth="1"/>
    <col min="2" max="2" width="18.28125" style="6" customWidth="1"/>
    <col min="3" max="3" width="15.7109375" style="6" customWidth="1"/>
    <col min="4" max="4" width="16.421875" style="6" customWidth="1"/>
    <col min="5" max="5" width="15.7109375" style="6" customWidth="1"/>
    <col min="6" max="6" width="18.7109375" style="6" customWidth="1"/>
    <col min="7" max="7" width="16.7109375" style="6" customWidth="1"/>
    <col min="8" max="8" width="18.421875" style="6" bestFit="1" customWidth="1"/>
    <col min="9" max="9" width="18.28125" style="6" customWidth="1"/>
    <col min="10" max="10" width="19.140625" style="6" customWidth="1"/>
    <col min="11" max="12" width="16.7109375" style="6" customWidth="1"/>
    <col min="13" max="19" width="15.7109375" style="6" customWidth="1"/>
    <col min="20" max="20" width="16.421875" style="6" customWidth="1"/>
    <col min="21" max="25" width="15.7109375" style="6" customWidth="1"/>
    <col min="26" max="26" width="12.7109375" style="6" customWidth="1"/>
    <col min="27" max="30" width="9.140625" style="6" customWidth="1"/>
    <col min="31" max="16384" width="9.140625" style="6" customWidth="1"/>
  </cols>
  <sheetData>
    <row r="1" spans="1:7" ht="18.75">
      <c r="A1" s="3" t="s">
        <v>144</v>
      </c>
      <c r="B1" s="10"/>
      <c r="D1" s="6" t="s">
        <v>24</v>
      </c>
      <c r="E1" s="53" t="s">
        <v>24</v>
      </c>
      <c r="F1" s="53" t="s">
        <v>24</v>
      </c>
      <c r="G1" s="53" t="s">
        <v>24</v>
      </c>
    </row>
    <row r="2" spans="1:26" ht="19.5" customHeight="1" thickBot="1">
      <c r="A2" s="21" t="s">
        <v>187</v>
      </c>
      <c r="B2" s="10"/>
      <c r="D2" s="12" t="s">
        <v>24</v>
      </c>
      <c r="E2" s="7"/>
      <c r="F2" s="4"/>
      <c r="G2" s="7"/>
      <c r="H2" s="28" t="s">
        <v>24</v>
      </c>
      <c r="M2" s="6" t="s">
        <v>24</v>
      </c>
      <c r="T2" s="10"/>
      <c r="U2" s="10"/>
      <c r="V2" s="10"/>
      <c r="W2" s="10"/>
      <c r="X2" s="10"/>
      <c r="Y2" s="10"/>
      <c r="Z2" s="10"/>
    </row>
    <row r="3" spans="1:25" s="2" customFormat="1" ht="18.75" thickBot="1">
      <c r="A3" s="106" t="s">
        <v>70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6"/>
      <c r="S3" s="46"/>
      <c r="T3" s="46"/>
      <c r="U3" s="46"/>
      <c r="V3" s="46"/>
      <c r="W3" s="46"/>
      <c r="Y3" s="46"/>
    </row>
    <row r="4" spans="1:25" s="8" customFormat="1" ht="66" customHeight="1">
      <c r="A4" s="93" t="s">
        <v>3</v>
      </c>
      <c r="B4" s="94" t="s">
        <v>74</v>
      </c>
      <c r="C4" s="94" t="s">
        <v>191</v>
      </c>
      <c r="D4" s="151" t="s">
        <v>62</v>
      </c>
      <c r="E4" s="94" t="s">
        <v>192</v>
      </c>
      <c r="F4" s="151" t="s">
        <v>189</v>
      </c>
      <c r="G4" s="94" t="s">
        <v>190</v>
      </c>
      <c r="H4" s="152" t="s">
        <v>60</v>
      </c>
      <c r="I4" s="50"/>
      <c r="J4" s="50"/>
      <c r="K4" s="50"/>
      <c r="L4" s="50"/>
      <c r="M4" s="50"/>
      <c r="N4" s="50"/>
      <c r="O4" s="50"/>
      <c r="P4" s="50"/>
      <c r="Q4" s="50"/>
      <c r="R4" s="23"/>
      <c r="S4" s="23"/>
      <c r="T4" s="23"/>
      <c r="U4" s="23"/>
      <c r="V4" s="23"/>
      <c r="W4" s="50"/>
      <c r="Y4" s="50"/>
    </row>
    <row r="5" spans="1:25" ht="12.75">
      <c r="A5" s="51" t="s">
        <v>6</v>
      </c>
      <c r="B5" s="60">
        <v>118.54</v>
      </c>
      <c r="C5" s="60">
        <v>0</v>
      </c>
      <c r="D5" s="150">
        <f>B5+C5</f>
        <v>118.54</v>
      </c>
      <c r="E5" s="60">
        <v>17.46</v>
      </c>
      <c r="F5" s="150">
        <f aca="true" t="shared" si="0" ref="F5:F12">D5+E5</f>
        <v>136</v>
      </c>
      <c r="G5" s="60">
        <v>0</v>
      </c>
      <c r="H5" s="153">
        <f aca="true" t="shared" si="1" ref="H5:H12">F5+G5</f>
        <v>136</v>
      </c>
      <c r="I5" s="10"/>
      <c r="J5" s="10"/>
      <c r="K5" s="10"/>
      <c r="L5" s="10"/>
      <c r="M5" s="10"/>
      <c r="N5" s="10"/>
      <c r="O5" s="10"/>
      <c r="P5" s="10"/>
      <c r="Q5" s="10"/>
      <c r="R5" s="78"/>
      <c r="S5" s="78"/>
      <c r="T5" s="78"/>
      <c r="U5" s="78"/>
      <c r="V5" s="78"/>
      <c r="W5" s="10"/>
      <c r="Y5" s="10"/>
    </row>
    <row r="6" spans="1:25" ht="12.75">
      <c r="A6" s="51" t="s">
        <v>30</v>
      </c>
      <c r="B6" s="60">
        <f>$B$5</f>
        <v>118.54</v>
      </c>
      <c r="C6" s="60">
        <v>31.46</v>
      </c>
      <c r="D6" s="150">
        <f>B6+C6</f>
        <v>150</v>
      </c>
      <c r="E6" s="60">
        <v>17.46</v>
      </c>
      <c r="F6" s="150">
        <f t="shared" si="0"/>
        <v>167.46</v>
      </c>
      <c r="G6" s="60">
        <v>0</v>
      </c>
      <c r="H6" s="153">
        <f t="shared" si="1"/>
        <v>167.46</v>
      </c>
      <c r="I6" s="10"/>
      <c r="J6" s="10"/>
      <c r="K6" s="10"/>
      <c r="L6" s="10"/>
      <c r="M6" s="10"/>
      <c r="N6" s="10"/>
      <c r="O6" s="10"/>
      <c r="P6" s="10"/>
      <c r="Q6" s="10"/>
      <c r="R6" s="78"/>
      <c r="S6" s="78"/>
      <c r="T6" s="78"/>
      <c r="U6" s="35"/>
      <c r="V6" s="78"/>
      <c r="W6" s="10"/>
      <c r="Y6" s="10"/>
    </row>
    <row r="7" spans="1:25" ht="12.75">
      <c r="A7" s="51" t="s">
        <v>41</v>
      </c>
      <c r="B7" s="60">
        <f aca="true" t="shared" si="2" ref="B7:B13">$B$5</f>
        <v>118.54</v>
      </c>
      <c r="C7" s="60">
        <v>0</v>
      </c>
      <c r="D7" s="150">
        <f>B7+C6+C7</f>
        <v>150</v>
      </c>
      <c r="E7" s="60">
        <v>17.46</v>
      </c>
      <c r="F7" s="150">
        <f t="shared" si="0"/>
        <v>167.46</v>
      </c>
      <c r="G7" s="60">
        <v>0</v>
      </c>
      <c r="H7" s="153">
        <f t="shared" si="1"/>
        <v>167.46</v>
      </c>
      <c r="I7" s="10"/>
      <c r="J7" s="10"/>
      <c r="K7" s="10"/>
      <c r="L7" s="10"/>
      <c r="M7" s="10"/>
      <c r="N7" s="10"/>
      <c r="O7" s="10"/>
      <c r="P7" s="10"/>
      <c r="Q7" s="10"/>
      <c r="R7" s="78"/>
      <c r="S7" s="78"/>
      <c r="T7" s="78"/>
      <c r="U7" s="35"/>
      <c r="V7" s="78"/>
      <c r="W7" s="10"/>
      <c r="Y7" s="10"/>
    </row>
    <row r="8" spans="1:25" ht="12.75">
      <c r="A8" s="51" t="s">
        <v>5</v>
      </c>
      <c r="B8" s="60">
        <f t="shared" si="2"/>
        <v>118.54</v>
      </c>
      <c r="C8" s="60">
        <v>0</v>
      </c>
      <c r="D8" s="150">
        <f>B8+C6+C8</f>
        <v>150</v>
      </c>
      <c r="E8" s="60">
        <v>17.46</v>
      </c>
      <c r="F8" s="150">
        <f t="shared" si="0"/>
        <v>167.46</v>
      </c>
      <c r="G8" s="60">
        <v>0</v>
      </c>
      <c r="H8" s="153">
        <f t="shared" si="1"/>
        <v>167.46</v>
      </c>
      <c r="I8" s="10"/>
      <c r="J8" s="10"/>
      <c r="K8" s="10"/>
      <c r="L8" s="10"/>
      <c r="M8" s="10"/>
      <c r="N8" s="10"/>
      <c r="O8" s="10"/>
      <c r="P8" s="10"/>
      <c r="Q8" s="10"/>
      <c r="R8" s="78"/>
      <c r="S8" s="78"/>
      <c r="T8" s="78"/>
      <c r="U8" s="35"/>
      <c r="V8" s="78"/>
      <c r="W8" s="10"/>
      <c r="Y8" s="10"/>
    </row>
    <row r="9" spans="1:25" ht="12.75">
      <c r="A9" s="51" t="s">
        <v>8</v>
      </c>
      <c r="B9" s="60">
        <f t="shared" si="2"/>
        <v>118.54</v>
      </c>
      <c r="C9" s="60">
        <v>0</v>
      </c>
      <c r="D9" s="150">
        <f>B9+C6+C7+C9</f>
        <v>150</v>
      </c>
      <c r="E9" s="60">
        <v>17.46</v>
      </c>
      <c r="F9" s="150">
        <f t="shared" si="0"/>
        <v>167.46</v>
      </c>
      <c r="G9" s="60">
        <v>0</v>
      </c>
      <c r="H9" s="153">
        <f t="shared" si="1"/>
        <v>167.46</v>
      </c>
      <c r="I9" s="10"/>
      <c r="J9" s="10"/>
      <c r="K9" s="10"/>
      <c r="L9" s="10"/>
      <c r="M9" s="10"/>
      <c r="N9" s="10"/>
      <c r="O9" s="10"/>
      <c r="P9" s="10"/>
      <c r="Q9" s="10"/>
      <c r="R9" s="78"/>
      <c r="S9" s="78"/>
      <c r="T9" s="78"/>
      <c r="U9" s="35"/>
      <c r="V9" s="35"/>
      <c r="W9" s="10"/>
      <c r="Y9" s="10"/>
    </row>
    <row r="10" spans="1:25" ht="12.75">
      <c r="A10" s="51" t="s">
        <v>42</v>
      </c>
      <c r="B10" s="60">
        <f t="shared" si="2"/>
        <v>118.54</v>
      </c>
      <c r="C10" s="60">
        <v>0</v>
      </c>
      <c r="D10" s="150">
        <f>B10+C6+C7+C9+C10</f>
        <v>150</v>
      </c>
      <c r="E10" s="60">
        <v>17.46</v>
      </c>
      <c r="F10" s="150">
        <f t="shared" si="0"/>
        <v>167.46</v>
      </c>
      <c r="G10" s="60">
        <v>0</v>
      </c>
      <c r="H10" s="153">
        <f t="shared" si="1"/>
        <v>167.46</v>
      </c>
      <c r="I10" s="10"/>
      <c r="J10" s="10"/>
      <c r="K10" s="10"/>
      <c r="L10" s="10"/>
      <c r="M10" s="10"/>
      <c r="N10" s="10"/>
      <c r="O10" s="10"/>
      <c r="P10" s="10"/>
      <c r="Q10" s="10"/>
      <c r="R10" s="78"/>
      <c r="S10" s="78"/>
      <c r="T10" s="78"/>
      <c r="U10" s="35"/>
      <c r="V10" s="35"/>
      <c r="W10" s="10"/>
      <c r="Y10" s="10"/>
    </row>
    <row r="11" spans="1:25" ht="12.75">
      <c r="A11" s="51" t="s">
        <v>43</v>
      </c>
      <c r="B11" s="60">
        <f t="shared" si="2"/>
        <v>118.54</v>
      </c>
      <c r="C11" s="60">
        <v>0</v>
      </c>
      <c r="D11" s="150">
        <f>B11+C6+C7+C11</f>
        <v>150</v>
      </c>
      <c r="E11" s="60">
        <v>17.46</v>
      </c>
      <c r="F11" s="150">
        <f t="shared" si="0"/>
        <v>167.46</v>
      </c>
      <c r="G11" s="60">
        <v>0</v>
      </c>
      <c r="H11" s="153">
        <f t="shared" si="1"/>
        <v>167.46</v>
      </c>
      <c r="I11" s="10"/>
      <c r="J11" s="10"/>
      <c r="K11" s="10"/>
      <c r="L11" s="10"/>
      <c r="M11" s="10"/>
      <c r="N11" s="10"/>
      <c r="O11" s="10"/>
      <c r="P11" s="10"/>
      <c r="Q11" s="10"/>
      <c r="R11" s="78"/>
      <c r="S11" s="78"/>
      <c r="T11" s="78"/>
      <c r="U11" s="35"/>
      <c r="V11" s="35"/>
      <c r="W11" s="10"/>
      <c r="Y11" s="10"/>
    </row>
    <row r="12" spans="1:25" ht="12.75">
      <c r="A12" s="133" t="s">
        <v>15</v>
      </c>
      <c r="B12" s="60">
        <f t="shared" si="2"/>
        <v>118.54</v>
      </c>
      <c r="C12" s="158">
        <v>0</v>
      </c>
      <c r="D12" s="150">
        <f>B12+C6+C8+C12</f>
        <v>150</v>
      </c>
      <c r="E12" s="60">
        <v>17.46</v>
      </c>
      <c r="F12" s="150">
        <f t="shared" si="0"/>
        <v>167.46</v>
      </c>
      <c r="G12" s="158">
        <v>0</v>
      </c>
      <c r="H12" s="153">
        <f t="shared" si="1"/>
        <v>167.46</v>
      </c>
      <c r="I12" s="10"/>
      <c r="J12" s="10"/>
      <c r="K12" s="10"/>
      <c r="L12" s="10"/>
      <c r="M12" s="10"/>
      <c r="N12" s="10"/>
      <c r="O12" s="10"/>
      <c r="P12" s="10"/>
      <c r="Q12" s="10"/>
      <c r="R12" s="78"/>
      <c r="S12" s="78"/>
      <c r="T12" s="78"/>
      <c r="U12" s="78"/>
      <c r="V12" s="78"/>
      <c r="W12" s="10"/>
      <c r="Y12" s="10"/>
    </row>
    <row r="13" spans="1:25" ht="13.5" thickBot="1">
      <c r="A13" s="184" t="s">
        <v>51</v>
      </c>
      <c r="B13" s="185">
        <f t="shared" si="2"/>
        <v>118.54</v>
      </c>
      <c r="C13" s="186">
        <v>186.08</v>
      </c>
      <c r="D13" s="187">
        <f>B13+C13</f>
        <v>304.62</v>
      </c>
      <c r="E13" s="234">
        <v>17.46</v>
      </c>
      <c r="F13" s="187">
        <f>D13+E13</f>
        <v>322.08</v>
      </c>
      <c r="G13" s="186">
        <v>34.92</v>
      </c>
      <c r="H13" s="188">
        <f>F13+G13</f>
        <v>357</v>
      </c>
      <c r="I13" s="10"/>
      <c r="J13" s="10"/>
      <c r="K13" s="10"/>
      <c r="L13" s="10"/>
      <c r="M13" s="10"/>
      <c r="N13" s="10"/>
      <c r="O13" s="10"/>
      <c r="P13" s="10"/>
      <c r="Q13" s="10"/>
      <c r="R13" s="78"/>
      <c r="S13" s="78"/>
      <c r="T13" s="78"/>
      <c r="U13" s="78"/>
      <c r="V13" s="78"/>
      <c r="W13" s="10"/>
      <c r="Y13" s="10"/>
    </row>
    <row r="14" spans="1:25" ht="12.75">
      <c r="A14" s="12" t="s">
        <v>29</v>
      </c>
      <c r="B14" s="35"/>
      <c r="C14" s="35"/>
      <c r="D14" s="35"/>
      <c r="E14" s="36"/>
      <c r="F14" s="25"/>
      <c r="G14" s="25"/>
      <c r="H14" s="25"/>
      <c r="I14" s="65" t="s">
        <v>24</v>
      </c>
      <c r="J14" s="65"/>
      <c r="K14" s="65"/>
      <c r="L14" s="48" t="s">
        <v>24</v>
      </c>
      <c r="M14" s="10"/>
      <c r="N14" s="10"/>
      <c r="O14" s="10"/>
      <c r="P14" s="10"/>
      <c r="Q14" s="10"/>
      <c r="R14" s="48"/>
      <c r="S14" s="48"/>
      <c r="T14" s="48"/>
      <c r="U14" s="48"/>
      <c r="V14" s="48"/>
      <c r="W14" s="10"/>
      <c r="Y14" s="10" t="s">
        <v>24</v>
      </c>
    </row>
    <row r="15" spans="1:25" ht="12.75">
      <c r="A15" s="12"/>
      <c r="B15" s="35"/>
      <c r="C15" s="35"/>
      <c r="D15" s="35"/>
      <c r="E15" s="36"/>
      <c r="F15" s="25"/>
      <c r="G15" s="25"/>
      <c r="H15" s="25"/>
      <c r="I15" s="65"/>
      <c r="J15" s="65"/>
      <c r="K15" s="65"/>
      <c r="L15" s="48"/>
      <c r="R15" s="48"/>
      <c r="S15" s="48"/>
      <c r="T15" s="48"/>
      <c r="U15" s="48"/>
      <c r="V15" s="48"/>
      <c r="Y15" s="10"/>
    </row>
    <row r="16" spans="1:25" ht="15.75" thickBot="1">
      <c r="A16" s="84" t="s">
        <v>71</v>
      </c>
      <c r="B16" s="35"/>
      <c r="C16" s="35"/>
      <c r="D16" s="35"/>
      <c r="E16" s="36"/>
      <c r="F16" s="25"/>
      <c r="G16" s="25"/>
      <c r="H16" s="25"/>
      <c r="I16" s="65"/>
      <c r="J16" s="65"/>
      <c r="K16" s="65"/>
      <c r="L16" s="48"/>
      <c r="R16" s="48"/>
      <c r="S16" s="48"/>
      <c r="T16" s="48"/>
      <c r="U16" s="48"/>
      <c r="V16" s="48"/>
      <c r="Y16" s="10"/>
    </row>
    <row r="17" spans="1:25" ht="69" customHeight="1" thickBot="1">
      <c r="A17" s="144" t="s">
        <v>3</v>
      </c>
      <c r="B17" s="145" t="s">
        <v>137</v>
      </c>
      <c r="C17" s="145" t="s">
        <v>63</v>
      </c>
      <c r="D17" s="145" t="s">
        <v>61</v>
      </c>
      <c r="E17" s="145" t="s">
        <v>64</v>
      </c>
      <c r="F17" s="145" t="s">
        <v>138</v>
      </c>
      <c r="G17" s="145" t="s">
        <v>112</v>
      </c>
      <c r="H17" s="145" t="s">
        <v>113</v>
      </c>
      <c r="I17" s="146" t="s">
        <v>114</v>
      </c>
      <c r="J17" s="136"/>
      <c r="R17" s="48"/>
      <c r="S17" s="48"/>
      <c r="T17" s="48"/>
      <c r="U17" s="48"/>
      <c r="V17" s="48"/>
      <c r="Y17" s="10"/>
    </row>
    <row r="18" spans="1:25" ht="12.75">
      <c r="A18" s="97" t="s">
        <v>6</v>
      </c>
      <c r="B18" s="181">
        <v>9247.2</v>
      </c>
      <c r="C18" s="181">
        <v>5202.3</v>
      </c>
      <c r="D18" s="182">
        <v>150111.7</v>
      </c>
      <c r="E18" s="137">
        <f>B18+C18+D18</f>
        <v>164561.2</v>
      </c>
      <c r="F18" s="138">
        <v>0</v>
      </c>
      <c r="G18" s="138">
        <v>0</v>
      </c>
      <c r="H18" s="138">
        <v>2.7</v>
      </c>
      <c r="I18" s="139">
        <f aca="true" t="shared" si="3" ref="I18:I25">F18+G18+H18</f>
        <v>2.7</v>
      </c>
      <c r="J18" s="10"/>
      <c r="K18" s="7"/>
      <c r="M18" s="155"/>
      <c r="R18" s="48"/>
      <c r="S18" s="48"/>
      <c r="T18" s="48"/>
      <c r="U18" s="48"/>
      <c r="V18" s="48"/>
      <c r="Y18" s="10"/>
    </row>
    <row r="19" spans="1:25" ht="12.75">
      <c r="A19" s="51" t="s">
        <v>30</v>
      </c>
      <c r="B19" s="58">
        <v>3936.1</v>
      </c>
      <c r="C19" s="58">
        <v>2677.9</v>
      </c>
      <c r="D19" s="183">
        <v>59176.4</v>
      </c>
      <c r="E19" s="63">
        <f aca="true" t="shared" si="4" ref="E19:E24">B19+C19+D19</f>
        <v>65790.4</v>
      </c>
      <c r="F19" s="44">
        <v>0</v>
      </c>
      <c r="G19" s="44">
        <v>0</v>
      </c>
      <c r="H19" s="44">
        <v>0</v>
      </c>
      <c r="I19" s="110">
        <f t="shared" si="3"/>
        <v>0</v>
      </c>
      <c r="J19" s="10"/>
      <c r="K19" s="7"/>
      <c r="M19" s="7"/>
      <c r="R19" s="48"/>
      <c r="S19" s="48"/>
      <c r="T19" s="48"/>
      <c r="U19" s="48"/>
      <c r="V19" s="48"/>
      <c r="Y19" s="10"/>
    </row>
    <row r="20" spans="1:25" ht="12.75">
      <c r="A20" s="51" t="s">
        <v>41</v>
      </c>
      <c r="B20" s="58">
        <v>1530.7</v>
      </c>
      <c r="C20" s="58">
        <v>1057.1</v>
      </c>
      <c r="D20" s="183">
        <v>30459.9</v>
      </c>
      <c r="E20" s="63">
        <f t="shared" si="4"/>
        <v>33047.700000000004</v>
      </c>
      <c r="F20" s="44">
        <v>0</v>
      </c>
      <c r="G20" s="44">
        <v>0</v>
      </c>
      <c r="H20" s="44">
        <v>0</v>
      </c>
      <c r="I20" s="110">
        <f t="shared" si="3"/>
        <v>0</v>
      </c>
      <c r="J20" s="10"/>
      <c r="K20" s="7"/>
      <c r="M20" s="156"/>
      <c r="R20" s="48"/>
      <c r="S20" s="48"/>
      <c r="T20" s="48"/>
      <c r="U20" s="48"/>
      <c r="V20" s="48"/>
      <c r="Y20" s="10"/>
    </row>
    <row r="21" spans="1:25" ht="12.75">
      <c r="A21" s="51" t="s">
        <v>5</v>
      </c>
      <c r="B21" s="58">
        <v>1286.3</v>
      </c>
      <c r="C21" s="58">
        <v>721.1</v>
      </c>
      <c r="D21" s="183">
        <v>8992.4</v>
      </c>
      <c r="E21" s="63">
        <f t="shared" si="4"/>
        <v>10999.8</v>
      </c>
      <c r="F21" s="64">
        <v>0</v>
      </c>
      <c r="G21" s="64">
        <v>0</v>
      </c>
      <c r="H21" s="64">
        <v>0</v>
      </c>
      <c r="I21" s="110">
        <f t="shared" si="3"/>
        <v>0</v>
      </c>
      <c r="J21" s="10"/>
      <c r="K21" s="7"/>
      <c r="R21" s="48"/>
      <c r="S21" s="48"/>
      <c r="T21" s="48"/>
      <c r="U21" s="48"/>
      <c r="V21" s="48"/>
      <c r="Y21" s="10"/>
    </row>
    <row r="22" spans="1:25" ht="12.75">
      <c r="A22" s="51" t="s">
        <v>8</v>
      </c>
      <c r="B22" s="58">
        <v>405.3</v>
      </c>
      <c r="C22" s="58">
        <v>372.3</v>
      </c>
      <c r="D22" s="183">
        <v>5952.2</v>
      </c>
      <c r="E22" s="63">
        <f t="shared" si="4"/>
        <v>6729.8</v>
      </c>
      <c r="F22" s="64">
        <v>0</v>
      </c>
      <c r="G22" s="64">
        <v>0</v>
      </c>
      <c r="H22" s="64">
        <v>0</v>
      </c>
      <c r="I22" s="110">
        <f t="shared" si="3"/>
        <v>0</v>
      </c>
      <c r="J22" s="10"/>
      <c r="K22" s="7"/>
      <c r="R22" s="48"/>
      <c r="S22" s="48"/>
      <c r="T22" s="48"/>
      <c r="U22" s="48"/>
      <c r="V22" s="48"/>
      <c r="Y22" s="10"/>
    </row>
    <row r="23" spans="1:25" ht="12.75">
      <c r="A23" s="51" t="s">
        <v>42</v>
      </c>
      <c r="B23" s="58">
        <v>174.5</v>
      </c>
      <c r="C23" s="58">
        <v>88.8</v>
      </c>
      <c r="D23" s="157">
        <v>3377.9</v>
      </c>
      <c r="E23" s="63">
        <f t="shared" si="4"/>
        <v>3641.2000000000003</v>
      </c>
      <c r="F23" s="64">
        <v>0</v>
      </c>
      <c r="G23" s="64">
        <v>0</v>
      </c>
      <c r="H23" s="64">
        <v>0</v>
      </c>
      <c r="I23" s="110">
        <f t="shared" si="3"/>
        <v>0</v>
      </c>
      <c r="J23" s="10"/>
      <c r="K23" s="7"/>
      <c r="R23" s="48"/>
      <c r="S23" s="48"/>
      <c r="T23" s="48"/>
      <c r="U23" s="48"/>
      <c r="V23" s="48"/>
      <c r="Y23" s="10"/>
    </row>
    <row r="24" spans="1:25" ht="12.75">
      <c r="A24" s="51" t="s">
        <v>43</v>
      </c>
      <c r="B24" s="58">
        <v>76.4</v>
      </c>
      <c r="C24" s="58">
        <v>9.9</v>
      </c>
      <c r="D24" s="157">
        <v>1635.8</v>
      </c>
      <c r="E24" s="63">
        <f t="shared" si="4"/>
        <v>1722.1</v>
      </c>
      <c r="F24" s="64">
        <v>0</v>
      </c>
      <c r="G24" s="64">
        <v>0</v>
      </c>
      <c r="H24" s="64">
        <v>0</v>
      </c>
      <c r="I24" s="110">
        <f t="shared" si="3"/>
        <v>0</v>
      </c>
      <c r="J24" s="10"/>
      <c r="K24" s="7"/>
      <c r="R24" s="48"/>
      <c r="S24" s="48"/>
      <c r="T24" s="48"/>
      <c r="U24" s="48"/>
      <c r="V24" s="48"/>
      <c r="Y24" s="10"/>
    </row>
    <row r="25" spans="1:25" ht="12.75">
      <c r="A25" s="64" t="s">
        <v>15</v>
      </c>
      <c r="B25" s="157">
        <v>491.5</v>
      </c>
      <c r="C25" s="183">
        <v>375.9</v>
      </c>
      <c r="D25" s="157">
        <v>5268.3</v>
      </c>
      <c r="E25" s="63">
        <f>B25+C25+D25</f>
        <v>6135.7</v>
      </c>
      <c r="F25" s="64">
        <v>0</v>
      </c>
      <c r="G25" s="64">
        <v>0</v>
      </c>
      <c r="H25" s="64">
        <v>0</v>
      </c>
      <c r="I25" s="44">
        <f t="shared" si="3"/>
        <v>0</v>
      </c>
      <c r="J25" s="10"/>
      <c r="K25" s="7"/>
      <c r="R25" s="48"/>
      <c r="S25" s="48"/>
      <c r="T25" s="48"/>
      <c r="U25" s="48"/>
      <c r="V25" s="48"/>
      <c r="Y25" s="10"/>
    </row>
    <row r="26" spans="1:25" ht="13.5" thickBot="1">
      <c r="A26" s="184" t="s">
        <v>51</v>
      </c>
      <c r="B26" s="189">
        <v>604.8</v>
      </c>
      <c r="C26" s="190">
        <v>836.3</v>
      </c>
      <c r="D26" s="189">
        <v>9226.5</v>
      </c>
      <c r="E26" s="191">
        <f>B26+C26+D26</f>
        <v>10667.6</v>
      </c>
      <c r="F26" s="192">
        <v>0</v>
      </c>
      <c r="G26" s="192">
        <v>0</v>
      </c>
      <c r="H26" s="192">
        <v>1.5</v>
      </c>
      <c r="I26" s="193">
        <f>F26+G26+H26</f>
        <v>1.5</v>
      </c>
      <c r="J26" s="10"/>
      <c r="K26" s="7"/>
      <c r="R26" s="48"/>
      <c r="S26" s="48"/>
      <c r="T26" s="48"/>
      <c r="U26" s="48"/>
      <c r="V26" s="48"/>
      <c r="Y26" s="10"/>
    </row>
    <row r="27" spans="1:25" ht="13.5" thickBot="1">
      <c r="A27" s="12"/>
      <c r="B27" s="35"/>
      <c r="C27" s="35"/>
      <c r="D27" s="35"/>
      <c r="E27" s="36"/>
      <c r="F27" s="25"/>
      <c r="G27" s="25"/>
      <c r="H27" s="25"/>
      <c r="I27" s="65"/>
      <c r="J27" s="65"/>
      <c r="K27" s="65"/>
      <c r="L27" s="48"/>
      <c r="R27" s="48"/>
      <c r="S27" s="48"/>
      <c r="T27" s="48"/>
      <c r="U27" s="48"/>
      <c r="V27" s="48"/>
      <c r="Y27" s="10"/>
    </row>
    <row r="28" spans="1:25" ht="15.75" thickBot="1">
      <c r="A28" s="112" t="s">
        <v>68</v>
      </c>
      <c r="B28" s="35"/>
      <c r="C28" s="35"/>
      <c r="D28" s="35"/>
      <c r="E28" s="36"/>
      <c r="F28" s="25"/>
      <c r="G28" s="25"/>
      <c r="H28" s="25"/>
      <c r="I28" s="65"/>
      <c r="J28" s="65"/>
      <c r="K28" s="65"/>
      <c r="L28" s="48"/>
      <c r="M28" s="48"/>
      <c r="N28" s="48"/>
      <c r="O28" s="48"/>
      <c r="P28" s="48"/>
      <c r="Q28" s="48"/>
      <c r="R28" s="48"/>
      <c r="Y28" s="10"/>
    </row>
    <row r="29" spans="1:25" ht="114" customHeight="1">
      <c r="A29" s="93" t="s">
        <v>3</v>
      </c>
      <c r="B29" s="94" t="s">
        <v>137</v>
      </c>
      <c r="C29" s="94" t="s">
        <v>63</v>
      </c>
      <c r="D29" s="94" t="s">
        <v>61</v>
      </c>
      <c r="E29" s="94" t="s">
        <v>64</v>
      </c>
      <c r="F29" s="95" t="s">
        <v>128</v>
      </c>
      <c r="G29" s="95" t="s">
        <v>132</v>
      </c>
      <c r="H29" s="95" t="s">
        <v>133</v>
      </c>
      <c r="I29" s="96" t="s">
        <v>67</v>
      </c>
      <c r="K29" s="136"/>
      <c r="L29" s="136"/>
      <c r="M29" s="136"/>
      <c r="N29" s="136"/>
      <c r="O29" s="136"/>
      <c r="P29" s="136"/>
      <c r="R29" s="48"/>
      <c r="Y29" s="10"/>
    </row>
    <row r="30" spans="1:25" ht="12.75">
      <c r="A30" s="51" t="s">
        <v>52</v>
      </c>
      <c r="B30" s="57">
        <f>B18-B19-B26</f>
        <v>4706.3</v>
      </c>
      <c r="C30" s="57">
        <f>C18-C19-C26</f>
        <v>1688.1000000000001</v>
      </c>
      <c r="D30" s="57">
        <f>D18-D19-D26</f>
        <v>81708.80000000002</v>
      </c>
      <c r="E30" s="49">
        <f>B30+C30+D30</f>
        <v>88103.20000000001</v>
      </c>
      <c r="F30" s="130">
        <f aca="true" t="shared" si="5" ref="F30:F38">B30*D5</f>
        <v>557884.802</v>
      </c>
      <c r="G30" s="130">
        <f>C30*F5</f>
        <v>229581.6</v>
      </c>
      <c r="H30" s="130">
        <f>D30*H5</f>
        <v>11112396.800000003</v>
      </c>
      <c r="I30" s="113">
        <f aca="true" t="shared" si="6" ref="I30:I38">F30+G30+H30</f>
        <v>11899863.202000003</v>
      </c>
      <c r="K30" s="78"/>
      <c r="L30" s="78"/>
      <c r="M30" s="47"/>
      <c r="N30" s="47"/>
      <c r="O30" s="78"/>
      <c r="P30" s="47"/>
      <c r="R30" s="48"/>
      <c r="Y30" s="10"/>
    </row>
    <row r="31" spans="1:25" ht="12.75">
      <c r="A31" s="51" t="s">
        <v>55</v>
      </c>
      <c r="B31" s="57">
        <f>B19-B20-B21</f>
        <v>1119.0999999999997</v>
      </c>
      <c r="C31" s="57">
        <f>C19-C20-C21</f>
        <v>899.7000000000002</v>
      </c>
      <c r="D31" s="57">
        <f>D19-D20-D21</f>
        <v>19724.1</v>
      </c>
      <c r="E31" s="49">
        <f aca="true" t="shared" si="7" ref="E31:E38">B31+C31+D31</f>
        <v>21742.899999999998</v>
      </c>
      <c r="F31" s="130">
        <f t="shared" si="5"/>
        <v>167864.99999999994</v>
      </c>
      <c r="G31" s="130">
        <f>C31*F6</f>
        <v>150663.76200000005</v>
      </c>
      <c r="H31" s="130">
        <f aca="true" t="shared" si="8" ref="H31:H38">D31*H6</f>
        <v>3302997.786</v>
      </c>
      <c r="I31" s="113">
        <f t="shared" si="6"/>
        <v>3621526.548</v>
      </c>
      <c r="K31" s="78"/>
      <c r="L31" s="78"/>
      <c r="M31" s="47"/>
      <c r="N31" s="47"/>
      <c r="O31" s="78"/>
      <c r="P31" s="47"/>
      <c r="R31" s="48"/>
      <c r="Y31" s="10"/>
    </row>
    <row r="32" spans="1:25" ht="12.75">
      <c r="A32" s="51" t="s">
        <v>54</v>
      </c>
      <c r="B32" s="57">
        <f>B20-B22-B24</f>
        <v>1049</v>
      </c>
      <c r="C32" s="57">
        <f>C20-C22-C24</f>
        <v>674.9</v>
      </c>
      <c r="D32" s="57">
        <f>D20-D22-D24</f>
        <v>22871.9</v>
      </c>
      <c r="E32" s="49">
        <f t="shared" si="7"/>
        <v>24595.800000000003</v>
      </c>
      <c r="F32" s="130">
        <f t="shared" si="5"/>
        <v>157350</v>
      </c>
      <c r="G32" s="130">
        <f aca="true" t="shared" si="9" ref="G32:G38">C32*F7</f>
        <v>113018.754</v>
      </c>
      <c r="H32" s="130">
        <f t="shared" si="8"/>
        <v>3830128.3740000003</v>
      </c>
      <c r="I32" s="113">
        <f t="shared" si="6"/>
        <v>4100497.1280000005</v>
      </c>
      <c r="K32" s="78"/>
      <c r="L32" s="78"/>
      <c r="M32" s="47"/>
      <c r="N32" s="47"/>
      <c r="O32" s="78"/>
      <c r="P32" s="47"/>
      <c r="R32" s="48"/>
      <c r="Y32" s="10"/>
    </row>
    <row r="33" spans="1:25" ht="12.75">
      <c r="A33" s="51" t="s">
        <v>53</v>
      </c>
      <c r="B33" s="57">
        <f>B21-B25</f>
        <v>794.8</v>
      </c>
      <c r="C33" s="57">
        <f>C21-C25</f>
        <v>345.20000000000005</v>
      </c>
      <c r="D33" s="57">
        <f>D21-D25</f>
        <v>3724.0999999999995</v>
      </c>
      <c r="E33" s="49">
        <f t="shared" si="7"/>
        <v>4864.099999999999</v>
      </c>
      <c r="F33" s="130">
        <f t="shared" si="5"/>
        <v>119220</v>
      </c>
      <c r="G33" s="130">
        <f t="shared" si="9"/>
        <v>57807.19200000001</v>
      </c>
      <c r="H33" s="130">
        <f t="shared" si="8"/>
        <v>623637.786</v>
      </c>
      <c r="I33" s="113">
        <f t="shared" si="6"/>
        <v>800664.978</v>
      </c>
      <c r="K33" s="78"/>
      <c r="L33" s="78"/>
      <c r="M33" s="47"/>
      <c r="N33" s="47"/>
      <c r="O33" s="78"/>
      <c r="P33" s="47"/>
      <c r="R33" s="48"/>
      <c r="Y33" s="10"/>
    </row>
    <row r="34" spans="1:25" ht="12.75">
      <c r="A34" s="51" t="s">
        <v>45</v>
      </c>
      <c r="B34" s="57">
        <f>B22-B23</f>
        <v>230.8</v>
      </c>
      <c r="C34" s="57">
        <f>C22-C23</f>
        <v>283.5</v>
      </c>
      <c r="D34" s="57">
        <f>D22-D23</f>
        <v>2574.2999999999997</v>
      </c>
      <c r="E34" s="49">
        <f t="shared" si="7"/>
        <v>3088.5999999999995</v>
      </c>
      <c r="F34" s="130">
        <f t="shared" si="5"/>
        <v>34620</v>
      </c>
      <c r="G34" s="130">
        <f t="shared" si="9"/>
        <v>47474.91</v>
      </c>
      <c r="H34" s="130">
        <f t="shared" si="8"/>
        <v>431092.278</v>
      </c>
      <c r="I34" s="113">
        <f t="shared" si="6"/>
        <v>513187.18799999997</v>
      </c>
      <c r="K34" s="78"/>
      <c r="L34" s="78"/>
      <c r="M34" s="47"/>
      <c r="N34" s="47"/>
      <c r="O34" s="78"/>
      <c r="P34" s="47"/>
      <c r="R34" s="48"/>
      <c r="Y34" s="10"/>
    </row>
    <row r="35" spans="1:25" ht="12.75">
      <c r="A35" s="51" t="s">
        <v>42</v>
      </c>
      <c r="B35" s="57">
        <f>B23</f>
        <v>174.5</v>
      </c>
      <c r="C35" s="57">
        <f aca="true" t="shared" si="10" ref="C35:D38">C23</f>
        <v>88.8</v>
      </c>
      <c r="D35" s="57">
        <f t="shared" si="10"/>
        <v>3377.9</v>
      </c>
      <c r="E35" s="49">
        <f t="shared" si="7"/>
        <v>3641.2000000000003</v>
      </c>
      <c r="F35" s="130">
        <f t="shared" si="5"/>
        <v>26175</v>
      </c>
      <c r="G35" s="130">
        <f t="shared" si="9"/>
        <v>14870.448</v>
      </c>
      <c r="H35" s="130">
        <f t="shared" si="8"/>
        <v>565663.1340000001</v>
      </c>
      <c r="I35" s="113">
        <f t="shared" si="6"/>
        <v>606708.582</v>
      </c>
      <c r="K35" s="78"/>
      <c r="L35" s="78"/>
      <c r="M35" s="47"/>
      <c r="N35" s="47"/>
      <c r="O35" s="78"/>
      <c r="P35" s="47"/>
      <c r="R35" s="48"/>
      <c r="Y35" s="10"/>
    </row>
    <row r="36" spans="1:25" ht="12.75">
      <c r="A36" s="51" t="s">
        <v>43</v>
      </c>
      <c r="B36" s="57">
        <f>B24</f>
        <v>76.4</v>
      </c>
      <c r="C36" s="57">
        <f t="shared" si="10"/>
        <v>9.9</v>
      </c>
      <c r="D36" s="57">
        <f t="shared" si="10"/>
        <v>1635.8</v>
      </c>
      <c r="E36" s="49">
        <f t="shared" si="7"/>
        <v>1722.1</v>
      </c>
      <c r="F36" s="130">
        <f t="shared" si="5"/>
        <v>11460</v>
      </c>
      <c r="G36" s="130">
        <f t="shared" si="9"/>
        <v>1657.854</v>
      </c>
      <c r="H36" s="130">
        <f t="shared" si="8"/>
        <v>273931.068</v>
      </c>
      <c r="I36" s="113">
        <f t="shared" si="6"/>
        <v>287048.922</v>
      </c>
      <c r="K36" s="78"/>
      <c r="L36" s="78"/>
      <c r="M36" s="47"/>
      <c r="N36" s="47"/>
      <c r="O36" s="78"/>
      <c r="P36" s="47"/>
      <c r="R36" s="48"/>
      <c r="Y36" s="10"/>
    </row>
    <row r="37" spans="1:25" ht="12.75">
      <c r="A37" s="51" t="s">
        <v>15</v>
      </c>
      <c r="B37" s="57">
        <f>B25</f>
        <v>491.5</v>
      </c>
      <c r="C37" s="57">
        <f t="shared" si="10"/>
        <v>375.9</v>
      </c>
      <c r="D37" s="57">
        <f t="shared" si="10"/>
        <v>5268.3</v>
      </c>
      <c r="E37" s="49">
        <f t="shared" si="7"/>
        <v>6135.7</v>
      </c>
      <c r="F37" s="130">
        <f t="shared" si="5"/>
        <v>73725</v>
      </c>
      <c r="G37" s="130">
        <f t="shared" si="9"/>
        <v>62948.214</v>
      </c>
      <c r="H37" s="130">
        <f t="shared" si="8"/>
        <v>882229.518</v>
      </c>
      <c r="I37" s="113">
        <f t="shared" si="6"/>
        <v>1018902.7320000001</v>
      </c>
      <c r="K37" s="78"/>
      <c r="L37" s="78"/>
      <c r="M37" s="47"/>
      <c r="N37" s="47"/>
      <c r="O37" s="78"/>
      <c r="P37" s="47"/>
      <c r="R37" s="48"/>
      <c r="Y37" s="10"/>
    </row>
    <row r="38" spans="1:25" ht="12.75">
      <c r="A38" s="51" t="s">
        <v>51</v>
      </c>
      <c r="B38" s="57">
        <f>B26</f>
        <v>604.8</v>
      </c>
      <c r="C38" s="57">
        <f t="shared" si="10"/>
        <v>836.3</v>
      </c>
      <c r="D38" s="57">
        <f t="shared" si="10"/>
        <v>9226.5</v>
      </c>
      <c r="E38" s="49">
        <f t="shared" si="7"/>
        <v>10667.6</v>
      </c>
      <c r="F38" s="130">
        <f t="shared" si="5"/>
        <v>184234.17599999998</v>
      </c>
      <c r="G38" s="130">
        <f t="shared" si="9"/>
        <v>269355.50399999996</v>
      </c>
      <c r="H38" s="130">
        <f t="shared" si="8"/>
        <v>3293860.5</v>
      </c>
      <c r="I38" s="113">
        <f t="shared" si="6"/>
        <v>3747450.1799999997</v>
      </c>
      <c r="K38" s="78"/>
      <c r="L38" s="78"/>
      <c r="M38" s="47"/>
      <c r="N38" s="47"/>
      <c r="O38" s="78"/>
      <c r="P38" s="47"/>
      <c r="R38" s="48"/>
      <c r="Y38" s="10"/>
    </row>
    <row r="39" spans="1:25" ht="13.5" thickBot="1">
      <c r="A39" s="52" t="s">
        <v>56</v>
      </c>
      <c r="B39" s="114">
        <f aca="true" t="shared" si="11" ref="B39:H39">SUM(B30:B38)</f>
        <v>9247.199999999999</v>
      </c>
      <c r="C39" s="114">
        <f t="shared" si="11"/>
        <v>5202.300000000001</v>
      </c>
      <c r="D39" s="114">
        <f>SUM(D30:D38)</f>
        <v>150111.7</v>
      </c>
      <c r="E39" s="66">
        <f>SUM(E30:E38)</f>
        <v>164561.20000000007</v>
      </c>
      <c r="F39" s="131">
        <f>SUM(F30:F38)</f>
        <v>1332533.978</v>
      </c>
      <c r="G39" s="131">
        <f t="shared" si="11"/>
        <v>947378.2380000001</v>
      </c>
      <c r="H39" s="131">
        <f t="shared" si="11"/>
        <v>24315937.244000003</v>
      </c>
      <c r="I39" s="115">
        <f>SUM(I30:I38)</f>
        <v>26595849.460000005</v>
      </c>
      <c r="J39" s="195" t="s">
        <v>24</v>
      </c>
      <c r="K39" s="78"/>
      <c r="L39" s="78"/>
      <c r="M39" s="47"/>
      <c r="N39" s="47"/>
      <c r="O39" s="78"/>
      <c r="P39" s="47"/>
      <c r="R39" s="48"/>
      <c r="Y39" s="10"/>
    </row>
    <row r="40" spans="1:25" ht="13.5" thickBot="1">
      <c r="A40" s="10"/>
      <c r="B40" s="18"/>
      <c r="C40" s="18"/>
      <c r="D40" s="18"/>
      <c r="E40" s="71"/>
      <c r="F40" s="35"/>
      <c r="G40" s="35"/>
      <c r="H40" s="35"/>
      <c r="I40" s="9"/>
      <c r="J40" s="18"/>
      <c r="K40" s="35"/>
      <c r="L40" s="18"/>
      <c r="M40" s="18"/>
      <c r="N40" s="18"/>
      <c r="O40" s="15"/>
      <c r="P40" s="15"/>
      <c r="Q40" s="15"/>
      <c r="R40" s="48"/>
      <c r="Y40" s="10"/>
    </row>
    <row r="41" spans="1:25" ht="15.75" thickBot="1">
      <c r="A41" s="116" t="s">
        <v>110</v>
      </c>
      <c r="B41" s="18"/>
      <c r="C41" s="18"/>
      <c r="D41" s="18"/>
      <c r="E41" s="71"/>
      <c r="F41" s="35"/>
      <c r="G41" s="35"/>
      <c r="H41" s="35"/>
      <c r="I41" s="9"/>
      <c r="J41" s="18"/>
      <c r="K41" s="35"/>
      <c r="L41" s="18"/>
      <c r="M41" s="18"/>
      <c r="N41" s="18"/>
      <c r="O41" s="15"/>
      <c r="P41" s="15"/>
      <c r="Q41" s="15"/>
      <c r="R41" s="48"/>
      <c r="Y41" s="10"/>
    </row>
    <row r="42" spans="1:25" ht="76.5">
      <c r="A42" s="144" t="s">
        <v>3</v>
      </c>
      <c r="B42" s="145" t="s">
        <v>139</v>
      </c>
      <c r="C42" s="145" t="s">
        <v>115</v>
      </c>
      <c r="D42" s="147" t="s">
        <v>116</v>
      </c>
      <c r="E42" s="147" t="s">
        <v>114</v>
      </c>
      <c r="F42" s="147" t="s">
        <v>77</v>
      </c>
      <c r="G42" s="147" t="s">
        <v>76</v>
      </c>
      <c r="H42" s="147" t="s">
        <v>75</v>
      </c>
      <c r="I42" s="148" t="s">
        <v>117</v>
      </c>
      <c r="J42" s="149" t="s">
        <v>111</v>
      </c>
      <c r="K42" s="35"/>
      <c r="L42" s="18"/>
      <c r="M42" s="18"/>
      <c r="N42" s="18"/>
      <c r="O42" s="15"/>
      <c r="P42" s="15"/>
      <c r="Q42" s="15"/>
      <c r="R42" s="48"/>
      <c r="Y42" s="10"/>
    </row>
    <row r="43" spans="1:25" ht="12.75">
      <c r="A43" s="51" t="s">
        <v>52</v>
      </c>
      <c r="B43" s="57">
        <f>F18-F19-F26</f>
        <v>0</v>
      </c>
      <c r="C43" s="57">
        <f>G18-G19-G26</f>
        <v>0</v>
      </c>
      <c r="D43" s="57">
        <f>H18-H19-H26</f>
        <v>1.2000000000000002</v>
      </c>
      <c r="E43" s="49">
        <f>B43+C43+D43</f>
        <v>1.2000000000000002</v>
      </c>
      <c r="F43" s="45">
        <f aca="true" t="shared" si="12" ref="F43:F51">B43*D5</f>
        <v>0</v>
      </c>
      <c r="G43" s="45">
        <f aca="true" t="shared" si="13" ref="G43:G51">C43*F5</f>
        <v>0</v>
      </c>
      <c r="H43" s="45">
        <f aca="true" t="shared" si="14" ref="H43:H51">D43*H5</f>
        <v>163.20000000000002</v>
      </c>
      <c r="I43" s="45">
        <v>0</v>
      </c>
      <c r="J43" s="113">
        <f aca="true" t="shared" si="15" ref="J43:J51">F43+G43+H43+I43</f>
        <v>163.20000000000002</v>
      </c>
      <c r="K43" s="35"/>
      <c r="L43" s="18"/>
      <c r="M43" s="18"/>
      <c r="N43" s="18"/>
      <c r="O43" s="15"/>
      <c r="P43" s="15"/>
      <c r="Q43" s="15"/>
      <c r="R43" s="48"/>
      <c r="Y43" s="10"/>
    </row>
    <row r="44" spans="1:25" ht="12.75">
      <c r="A44" s="51" t="s">
        <v>55</v>
      </c>
      <c r="B44" s="57">
        <f>F19-F20-F21</f>
        <v>0</v>
      </c>
      <c r="C44" s="57">
        <f>G19-G20-G21</f>
        <v>0</v>
      </c>
      <c r="D44" s="57">
        <f>H19-H20-H21</f>
        <v>0</v>
      </c>
      <c r="E44" s="49">
        <f aca="true" t="shared" si="16" ref="E44:E50">B44+C44+D44</f>
        <v>0</v>
      </c>
      <c r="F44" s="45">
        <f t="shared" si="12"/>
        <v>0</v>
      </c>
      <c r="G44" s="45">
        <f t="shared" si="13"/>
        <v>0</v>
      </c>
      <c r="H44" s="45">
        <f t="shared" si="14"/>
        <v>0</v>
      </c>
      <c r="I44" s="45">
        <v>0</v>
      </c>
      <c r="J44" s="113">
        <f t="shared" si="15"/>
        <v>0</v>
      </c>
      <c r="K44" s="35"/>
      <c r="L44" s="18"/>
      <c r="M44" s="18"/>
      <c r="N44" s="18"/>
      <c r="O44" s="15"/>
      <c r="P44" s="15"/>
      <c r="Q44" s="15"/>
      <c r="R44" s="48"/>
      <c r="Y44" s="10"/>
    </row>
    <row r="45" spans="1:25" ht="12.75">
      <c r="A45" s="51" t="s">
        <v>54</v>
      </c>
      <c r="B45" s="57">
        <f>F20-F22-F24</f>
        <v>0</v>
      </c>
      <c r="C45" s="57">
        <f>G20-G22-G24</f>
        <v>0</v>
      </c>
      <c r="D45" s="57">
        <f>H20-H22-H24</f>
        <v>0</v>
      </c>
      <c r="E45" s="49">
        <f t="shared" si="16"/>
        <v>0</v>
      </c>
      <c r="F45" s="45">
        <f t="shared" si="12"/>
        <v>0</v>
      </c>
      <c r="G45" s="45">
        <f t="shared" si="13"/>
        <v>0</v>
      </c>
      <c r="H45" s="45">
        <f t="shared" si="14"/>
        <v>0</v>
      </c>
      <c r="I45" s="45">
        <v>0</v>
      </c>
      <c r="J45" s="113">
        <f t="shared" si="15"/>
        <v>0</v>
      </c>
      <c r="K45" s="35"/>
      <c r="L45" s="18"/>
      <c r="M45" s="18"/>
      <c r="N45" s="18"/>
      <c r="O45" s="15"/>
      <c r="P45" s="15"/>
      <c r="Q45" s="15"/>
      <c r="R45" s="48"/>
      <c r="Y45" s="10"/>
    </row>
    <row r="46" spans="1:25" ht="12.75">
      <c r="A46" s="51" t="s">
        <v>53</v>
      </c>
      <c r="B46" s="57">
        <f>F21-F25</f>
        <v>0</v>
      </c>
      <c r="C46" s="57">
        <f>G21-G25</f>
        <v>0</v>
      </c>
      <c r="D46" s="57">
        <f>H21-H25</f>
        <v>0</v>
      </c>
      <c r="E46" s="49">
        <f t="shared" si="16"/>
        <v>0</v>
      </c>
      <c r="F46" s="45">
        <f t="shared" si="12"/>
        <v>0</v>
      </c>
      <c r="G46" s="45">
        <f t="shared" si="13"/>
        <v>0</v>
      </c>
      <c r="H46" s="45">
        <f t="shared" si="14"/>
        <v>0</v>
      </c>
      <c r="I46" s="45">
        <v>0</v>
      </c>
      <c r="J46" s="113">
        <f t="shared" si="15"/>
        <v>0</v>
      </c>
      <c r="K46" s="35"/>
      <c r="L46" s="18"/>
      <c r="M46" s="18"/>
      <c r="N46" s="18"/>
      <c r="O46" s="15"/>
      <c r="P46" s="15"/>
      <c r="Q46" s="15"/>
      <c r="R46" s="48"/>
      <c r="Y46" s="10"/>
    </row>
    <row r="47" spans="1:25" ht="12.75">
      <c r="A47" s="51" t="s">
        <v>45</v>
      </c>
      <c r="B47" s="57">
        <f>F22-F23</f>
        <v>0</v>
      </c>
      <c r="C47" s="57">
        <f>G22-G23</f>
        <v>0</v>
      </c>
      <c r="D47" s="57">
        <f>H22-H23</f>
        <v>0</v>
      </c>
      <c r="E47" s="49">
        <f t="shared" si="16"/>
        <v>0</v>
      </c>
      <c r="F47" s="45">
        <f t="shared" si="12"/>
        <v>0</v>
      </c>
      <c r="G47" s="45">
        <f t="shared" si="13"/>
        <v>0</v>
      </c>
      <c r="H47" s="45">
        <f t="shared" si="14"/>
        <v>0</v>
      </c>
      <c r="I47" s="45">
        <v>0</v>
      </c>
      <c r="J47" s="113">
        <f t="shared" si="15"/>
        <v>0</v>
      </c>
      <c r="K47" s="35"/>
      <c r="L47" s="18"/>
      <c r="M47" s="18"/>
      <c r="N47" s="18"/>
      <c r="O47" s="15"/>
      <c r="P47" s="15"/>
      <c r="Q47" s="15"/>
      <c r="R47" s="48"/>
      <c r="Y47" s="10"/>
    </row>
    <row r="48" spans="1:25" ht="12.75">
      <c r="A48" s="51" t="s">
        <v>42</v>
      </c>
      <c r="B48" s="57">
        <f>F23</f>
        <v>0</v>
      </c>
      <c r="C48" s="57">
        <f aca="true" t="shared" si="17" ref="C48:D50">G23</f>
        <v>0</v>
      </c>
      <c r="D48" s="57">
        <f t="shared" si="17"/>
        <v>0</v>
      </c>
      <c r="E48" s="49">
        <f t="shared" si="16"/>
        <v>0</v>
      </c>
      <c r="F48" s="45">
        <f t="shared" si="12"/>
        <v>0</v>
      </c>
      <c r="G48" s="45">
        <f t="shared" si="13"/>
        <v>0</v>
      </c>
      <c r="H48" s="45">
        <f t="shared" si="14"/>
        <v>0</v>
      </c>
      <c r="I48" s="45">
        <v>0</v>
      </c>
      <c r="J48" s="113">
        <f t="shared" si="15"/>
        <v>0</v>
      </c>
      <c r="K48" s="35"/>
      <c r="L48" s="18"/>
      <c r="M48" s="18"/>
      <c r="N48" s="18"/>
      <c r="O48" s="15"/>
      <c r="P48" s="15"/>
      <c r="Q48" s="15"/>
      <c r="R48" s="48"/>
      <c r="Y48" s="10"/>
    </row>
    <row r="49" spans="1:25" ht="12.75">
      <c r="A49" s="51" t="s">
        <v>43</v>
      </c>
      <c r="B49" s="57">
        <f>F24</f>
        <v>0</v>
      </c>
      <c r="C49" s="57">
        <f t="shared" si="17"/>
        <v>0</v>
      </c>
      <c r="D49" s="57">
        <f t="shared" si="17"/>
        <v>0</v>
      </c>
      <c r="E49" s="49">
        <f t="shared" si="16"/>
        <v>0</v>
      </c>
      <c r="F49" s="45">
        <f t="shared" si="12"/>
        <v>0</v>
      </c>
      <c r="G49" s="45">
        <f t="shared" si="13"/>
        <v>0</v>
      </c>
      <c r="H49" s="45">
        <f t="shared" si="14"/>
        <v>0</v>
      </c>
      <c r="I49" s="45">
        <v>0</v>
      </c>
      <c r="J49" s="113">
        <f t="shared" si="15"/>
        <v>0</v>
      </c>
      <c r="K49" s="35"/>
      <c r="L49" s="18"/>
      <c r="M49" s="18"/>
      <c r="N49" s="18"/>
      <c r="O49" s="15"/>
      <c r="P49" s="15"/>
      <c r="Q49" s="15"/>
      <c r="R49" s="48"/>
      <c r="Y49" s="10"/>
    </row>
    <row r="50" spans="1:25" ht="12.75">
      <c r="A50" s="51" t="s">
        <v>15</v>
      </c>
      <c r="B50" s="57">
        <f>F25</f>
        <v>0</v>
      </c>
      <c r="C50" s="57">
        <f t="shared" si="17"/>
        <v>0</v>
      </c>
      <c r="D50" s="57">
        <f t="shared" si="17"/>
        <v>0</v>
      </c>
      <c r="E50" s="49">
        <f t="shared" si="16"/>
        <v>0</v>
      </c>
      <c r="F50" s="45">
        <f t="shared" si="12"/>
        <v>0</v>
      </c>
      <c r="G50" s="45">
        <f t="shared" si="13"/>
        <v>0</v>
      </c>
      <c r="H50" s="45">
        <f t="shared" si="14"/>
        <v>0</v>
      </c>
      <c r="I50" s="45">
        <v>0</v>
      </c>
      <c r="J50" s="113">
        <f t="shared" si="15"/>
        <v>0</v>
      </c>
      <c r="K50" s="35"/>
      <c r="L50" s="18"/>
      <c r="M50" s="18"/>
      <c r="N50" s="18"/>
      <c r="O50" s="15"/>
      <c r="P50" s="15"/>
      <c r="Q50" s="15"/>
      <c r="R50" s="48"/>
      <c r="Y50" s="10"/>
    </row>
    <row r="51" spans="1:25" ht="12.75">
      <c r="A51" s="51" t="s">
        <v>51</v>
      </c>
      <c r="B51" s="57">
        <f>F26</f>
        <v>0</v>
      </c>
      <c r="C51" s="57">
        <f>G26</f>
        <v>0</v>
      </c>
      <c r="D51" s="57">
        <f>H26</f>
        <v>1.5</v>
      </c>
      <c r="E51" s="49">
        <f>B51+C51+D51</f>
        <v>1.5</v>
      </c>
      <c r="F51" s="45">
        <f t="shared" si="12"/>
        <v>0</v>
      </c>
      <c r="G51" s="45">
        <f t="shared" si="13"/>
        <v>0</v>
      </c>
      <c r="H51" s="45">
        <f t="shared" si="14"/>
        <v>535.5</v>
      </c>
      <c r="I51" s="45">
        <v>0</v>
      </c>
      <c r="J51" s="113">
        <f t="shared" si="15"/>
        <v>535.5</v>
      </c>
      <c r="K51" s="35"/>
      <c r="L51" s="18"/>
      <c r="M51" s="18"/>
      <c r="N51" s="18"/>
      <c r="O51" s="15"/>
      <c r="P51" s="15"/>
      <c r="Q51" s="15"/>
      <c r="R51" s="48"/>
      <c r="Y51" s="10"/>
    </row>
    <row r="52" spans="1:25" ht="13.5" thickBot="1">
      <c r="A52" s="52" t="s">
        <v>56</v>
      </c>
      <c r="B52" s="114">
        <f>SUM(B43:B51)</f>
        <v>0</v>
      </c>
      <c r="C52" s="114">
        <f>SUM(C43:C51)</f>
        <v>0</v>
      </c>
      <c r="D52" s="114">
        <f>SUM(D43:D51)</f>
        <v>2.7</v>
      </c>
      <c r="E52" s="66">
        <f>B52+C52+D52</f>
        <v>2.7</v>
      </c>
      <c r="F52" s="167">
        <f>SUM(F43:F51)</f>
        <v>0</v>
      </c>
      <c r="G52" s="167">
        <f>SUM(G43:G51)</f>
        <v>0</v>
      </c>
      <c r="H52" s="167">
        <f>SUM(H43:H51)</f>
        <v>698.7</v>
      </c>
      <c r="I52" s="167">
        <v>0</v>
      </c>
      <c r="J52" s="115">
        <f>SUM(J43:J51)</f>
        <v>698.7</v>
      </c>
      <c r="K52" s="35"/>
      <c r="L52" s="18"/>
      <c r="M52" s="18"/>
      <c r="N52" s="18"/>
      <c r="O52" s="15"/>
      <c r="P52" s="15"/>
      <c r="Q52" s="15"/>
      <c r="R52" s="48"/>
      <c r="Y52" s="10"/>
    </row>
    <row r="53" spans="1:25" ht="13.5" thickBot="1">
      <c r="A53" s="10"/>
      <c r="B53" s="18"/>
      <c r="C53" s="18"/>
      <c r="D53" s="18"/>
      <c r="E53" s="71"/>
      <c r="F53" s="35"/>
      <c r="G53" s="35"/>
      <c r="H53" s="35"/>
      <c r="I53" s="9"/>
      <c r="J53" s="18"/>
      <c r="K53" s="35"/>
      <c r="L53" s="18"/>
      <c r="M53" s="18"/>
      <c r="N53" s="18"/>
      <c r="O53" s="15"/>
      <c r="P53" s="15"/>
      <c r="Q53" s="15"/>
      <c r="R53" s="48"/>
      <c r="Y53" s="10"/>
    </row>
    <row r="54" ht="15.75" thickBot="1">
      <c r="A54" s="135" t="s">
        <v>83</v>
      </c>
    </row>
    <row r="55" spans="1:4" ht="79.5" customHeight="1">
      <c r="A55" s="93" t="s">
        <v>84</v>
      </c>
      <c r="B55" s="95" t="s">
        <v>85</v>
      </c>
      <c r="C55" s="95" t="s">
        <v>142</v>
      </c>
      <c r="D55" s="96" t="s">
        <v>86</v>
      </c>
    </row>
    <row r="56" spans="1:4" ht="12.75">
      <c r="A56" s="51" t="s">
        <v>30</v>
      </c>
      <c r="B56" s="44">
        <v>0</v>
      </c>
      <c r="C56" s="130">
        <f>C6</f>
        <v>31.46</v>
      </c>
      <c r="D56" s="113">
        <f>B56*C56</f>
        <v>0</v>
      </c>
    </row>
    <row r="57" spans="1:4" ht="12.75">
      <c r="A57" s="51" t="s">
        <v>41</v>
      </c>
      <c r="B57" s="44">
        <v>0</v>
      </c>
      <c r="C57" s="130">
        <f aca="true" t="shared" si="18" ref="C57:C63">C7</f>
        <v>0</v>
      </c>
      <c r="D57" s="113">
        <f aca="true" t="shared" si="19" ref="D57:D62">B57*C57</f>
        <v>0</v>
      </c>
    </row>
    <row r="58" spans="1:4" ht="12.75">
      <c r="A58" s="51" t="s">
        <v>5</v>
      </c>
      <c r="B58" s="44">
        <v>0</v>
      </c>
      <c r="C58" s="130">
        <f t="shared" si="18"/>
        <v>0</v>
      </c>
      <c r="D58" s="113">
        <f t="shared" si="19"/>
        <v>0</v>
      </c>
    </row>
    <row r="59" spans="1:6" ht="12.75">
      <c r="A59" s="51" t="s">
        <v>8</v>
      </c>
      <c r="B59" s="44">
        <v>0</v>
      </c>
      <c r="C59" s="130">
        <f t="shared" si="18"/>
        <v>0</v>
      </c>
      <c r="D59" s="113">
        <f t="shared" si="19"/>
        <v>0</v>
      </c>
      <c r="F59" s="6" t="s">
        <v>24</v>
      </c>
    </row>
    <row r="60" spans="1:4" ht="12.75">
      <c r="A60" s="51" t="s">
        <v>42</v>
      </c>
      <c r="B60" s="44">
        <v>0</v>
      </c>
      <c r="C60" s="130">
        <f t="shared" si="18"/>
        <v>0</v>
      </c>
      <c r="D60" s="113">
        <f t="shared" si="19"/>
        <v>0</v>
      </c>
    </row>
    <row r="61" spans="1:4" ht="12.75">
      <c r="A61" s="51" t="s">
        <v>43</v>
      </c>
      <c r="B61" s="44">
        <v>0</v>
      </c>
      <c r="C61" s="130">
        <f t="shared" si="18"/>
        <v>0</v>
      </c>
      <c r="D61" s="113">
        <f t="shared" si="19"/>
        <v>0</v>
      </c>
    </row>
    <row r="62" spans="1:4" ht="12.75">
      <c r="A62" s="133" t="s">
        <v>15</v>
      </c>
      <c r="B62" s="44">
        <v>0</v>
      </c>
      <c r="C62" s="130">
        <f t="shared" si="18"/>
        <v>0</v>
      </c>
      <c r="D62" s="113">
        <f t="shared" si="19"/>
        <v>0</v>
      </c>
    </row>
    <row r="63" spans="1:4" ht="12.75">
      <c r="A63" s="133" t="s">
        <v>51</v>
      </c>
      <c r="B63" s="44">
        <v>0</v>
      </c>
      <c r="C63" s="130">
        <f t="shared" si="18"/>
        <v>186.08</v>
      </c>
      <c r="D63" s="113">
        <f>B63*C63</f>
        <v>0</v>
      </c>
    </row>
    <row r="64" spans="1:4" ht="13.5" thickBot="1">
      <c r="A64" s="109" t="s">
        <v>56</v>
      </c>
      <c r="B64" s="134" t="s">
        <v>24</v>
      </c>
      <c r="C64" s="134"/>
      <c r="D64" s="115">
        <f>SUM(D56:D62)</f>
        <v>0</v>
      </c>
    </row>
    <row r="65" ht="12.75">
      <c r="A65" s="12" t="s">
        <v>143</v>
      </c>
    </row>
    <row r="66" ht="12.75">
      <c r="B66" s="6" t="s">
        <v>24</v>
      </c>
    </row>
    <row r="67" ht="12.75">
      <c r="B67" s="6" t="s">
        <v>24</v>
      </c>
    </row>
    <row r="68" ht="12.75">
      <c r="B68" s="6" t="s">
        <v>24</v>
      </c>
    </row>
  </sheetData>
  <sheetProtection/>
  <printOptions/>
  <pageMargins left="0.45" right="0.2" top="0.25" bottom="0.25" header="0" footer="0"/>
  <pageSetup fitToHeight="2" horizontalDpi="600" verticalDpi="600" orientation="landscape" scale="70" r:id="rId1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5.8515625" style="6" customWidth="1"/>
    <col min="2" max="2" width="15.28125" style="6" bestFit="1" customWidth="1"/>
    <col min="3" max="3" width="15.7109375" style="6" customWidth="1"/>
    <col min="4" max="4" width="16.421875" style="6" customWidth="1"/>
    <col min="5" max="5" width="20.00390625" style="6" customWidth="1"/>
    <col min="6" max="6" width="18.7109375" style="6" customWidth="1"/>
    <col min="7" max="7" width="20.00390625" style="6" customWidth="1"/>
    <col min="8" max="8" width="18.421875" style="6" customWidth="1"/>
    <col min="9" max="9" width="18.140625" style="6" customWidth="1"/>
    <col min="10" max="10" width="18.421875" style="6" customWidth="1"/>
    <col min="11" max="11" width="20.00390625" style="6" customWidth="1"/>
    <col min="12" max="13" width="15.7109375" style="6" customWidth="1"/>
    <col min="14" max="16384" width="9.140625" style="6" customWidth="1"/>
  </cols>
  <sheetData>
    <row r="1" spans="1:7" ht="18.75">
      <c r="A1" s="3" t="s">
        <v>147</v>
      </c>
      <c r="E1" s="53" t="s">
        <v>24</v>
      </c>
      <c r="F1" s="53" t="s">
        <v>24</v>
      </c>
      <c r="G1" s="53" t="s">
        <v>24</v>
      </c>
    </row>
    <row r="2" ht="13.5" thickBot="1">
      <c r="A2" s="199"/>
    </row>
    <row r="3" spans="1:4" ht="19.5" thickBot="1">
      <c r="A3" s="106" t="s">
        <v>0</v>
      </c>
      <c r="D3" s="1" t="s">
        <v>24</v>
      </c>
    </row>
    <row r="4" spans="1:13" ht="12.75" customHeight="1">
      <c r="A4" s="97" t="s">
        <v>1</v>
      </c>
      <c r="B4" s="98">
        <v>0.154</v>
      </c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L4" s="23" t="s">
        <v>24</v>
      </c>
      <c r="M4" s="23"/>
    </row>
    <row r="5" spans="1:13" ht="12.75" customHeight="1">
      <c r="A5" s="99" t="s">
        <v>2</v>
      </c>
      <c r="B5" s="100">
        <v>0.059</v>
      </c>
      <c r="D5" s="10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 customHeight="1">
      <c r="A6" s="51" t="s">
        <v>4</v>
      </c>
      <c r="B6" s="101">
        <v>1.0859</v>
      </c>
      <c r="D6" s="10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 customHeight="1">
      <c r="A7" s="51" t="s">
        <v>38</v>
      </c>
      <c r="B7" s="102">
        <v>162777.4</v>
      </c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 customHeight="1">
      <c r="A8" s="51" t="s">
        <v>39</v>
      </c>
      <c r="B8" s="103">
        <v>0.025</v>
      </c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 customHeight="1">
      <c r="A9" s="51" t="s">
        <v>40</v>
      </c>
      <c r="B9" s="104">
        <f>B7*B8</f>
        <v>4069.435</v>
      </c>
      <c r="D9" s="10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2.75" customHeight="1" thickBot="1">
      <c r="A10" s="52" t="s">
        <v>23</v>
      </c>
      <c r="B10" s="105">
        <f>'BRA Resource Clearing Results'!E18/('BRA Load Pricing Results'!G54*'BRA Load Pricing Results'!B6)</f>
        <v>1.010958769747006</v>
      </c>
      <c r="C10" s="10" t="s">
        <v>24</v>
      </c>
      <c r="D10" s="10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4:12" ht="12.75">
      <c r="D11" s="12" t="s">
        <v>24</v>
      </c>
      <c r="E11" s="7"/>
      <c r="F11" s="4"/>
      <c r="G11" s="7"/>
      <c r="H11" s="28" t="s">
        <v>24</v>
      </c>
      <c r="L11" s="6" t="s">
        <v>24</v>
      </c>
    </row>
    <row r="12" spans="1:13" ht="13.5" thickBot="1">
      <c r="A12" s="12"/>
      <c r="B12" s="35"/>
      <c r="C12" s="35"/>
      <c r="D12" s="35"/>
      <c r="E12" s="36"/>
      <c r="F12" s="25"/>
      <c r="G12" s="25"/>
      <c r="H12" s="25"/>
      <c r="I12" s="65"/>
      <c r="J12" s="65"/>
      <c r="K12" s="65"/>
      <c r="L12" s="48"/>
      <c r="M12" s="48"/>
    </row>
    <row r="13" spans="1:13" ht="15.75" thickBot="1">
      <c r="A13" s="235" t="s">
        <v>69</v>
      </c>
      <c r="B13" s="35"/>
      <c r="C13" s="35"/>
      <c r="D13" s="35"/>
      <c r="E13" s="36"/>
      <c r="F13" s="25"/>
      <c r="G13" s="25"/>
      <c r="H13" s="25"/>
      <c r="I13" s="65"/>
      <c r="J13" s="65"/>
      <c r="K13" s="65"/>
      <c r="L13" s="48"/>
      <c r="M13" s="48"/>
    </row>
    <row r="14" spans="1:13" ht="88.5" customHeight="1">
      <c r="A14" s="265" t="s">
        <v>3</v>
      </c>
      <c r="B14" s="262" t="s">
        <v>73</v>
      </c>
      <c r="C14" s="95" t="s">
        <v>74</v>
      </c>
      <c r="D14" s="95" t="s">
        <v>178</v>
      </c>
      <c r="E14" s="95" t="s">
        <v>140</v>
      </c>
      <c r="F14" s="95" t="s">
        <v>125</v>
      </c>
      <c r="G14" s="95" t="s">
        <v>141</v>
      </c>
      <c r="H14" s="95" t="s">
        <v>179</v>
      </c>
      <c r="I14" s="95" t="s">
        <v>136</v>
      </c>
      <c r="J14" s="96" t="s">
        <v>126</v>
      </c>
      <c r="K14" s="72"/>
      <c r="L14" s="73"/>
      <c r="M14" s="74"/>
    </row>
    <row r="15" spans="1:13" ht="12.75">
      <c r="A15" s="266" t="s">
        <v>6</v>
      </c>
      <c r="B15" s="263">
        <f>K54</f>
        <v>168630.63500000004</v>
      </c>
      <c r="C15" s="166">
        <f>'BRA Resource Clearing Results'!B5</f>
        <v>118.54</v>
      </c>
      <c r="D15" s="166">
        <f>'BRA Resource Clearing Results'!C5</f>
        <v>0</v>
      </c>
      <c r="E15" s="158">
        <f>('BRA Resource Clearing Results'!C18+'BRA Resource Clearing Results'!D18)*'BRA Resource Clearing Results'!E5</f>
        <v>2711782.44</v>
      </c>
      <c r="F15" s="166">
        <f>E15/B15</f>
        <v>16.08119687149372</v>
      </c>
      <c r="G15" s="158">
        <f>'BRA Resource Clearing Results'!D18*'BRA Resource Clearing Results'!G5</f>
        <v>0</v>
      </c>
      <c r="H15" s="166">
        <f>G15/B15</f>
        <v>0</v>
      </c>
      <c r="I15" s="230">
        <f>'BRA Resource Clearing Results'!J43/'BRA Load Pricing Results'!B15</f>
        <v>0.0009677956795928567</v>
      </c>
      <c r="J15" s="236">
        <f aca="true" t="shared" si="0" ref="J15:J20">C15+D15+F15+H15+I15</f>
        <v>134.62216466717334</v>
      </c>
      <c r="K15" s="35"/>
      <c r="L15" s="18"/>
      <c r="M15" s="18"/>
    </row>
    <row r="16" spans="1:13" ht="12.75">
      <c r="A16" s="266" t="s">
        <v>30</v>
      </c>
      <c r="B16" s="263">
        <f>K35+K39+(SUM(K45:K53))</f>
        <v>68742.17511206842</v>
      </c>
      <c r="C16" s="166">
        <f>'BRA Resource Clearing Results'!B6</f>
        <v>118.54</v>
      </c>
      <c r="D16" s="166">
        <f>'BRA Resource Clearing Results'!C6</f>
        <v>31.46</v>
      </c>
      <c r="E16" s="158">
        <f>('BRA Resource Clearing Results'!C19+'BRA Resource Clearing Results'!D19)*('BRA Resource Clearing Results'!E6-'BRA Resource Clearing Results'!E5)</f>
        <v>0</v>
      </c>
      <c r="F16" s="166">
        <f>F15+(E16/B16)</f>
        <v>16.08119687149372</v>
      </c>
      <c r="G16" s="158">
        <f>'BRA Resource Clearing Results'!D19*('BRA Resource Clearing Results'!G6-'BRA Resource Clearing Results'!G5)</f>
        <v>0</v>
      </c>
      <c r="H16" s="166">
        <f>H15+(G16/B16)</f>
        <v>0</v>
      </c>
      <c r="I16" s="230">
        <f>I15+'BRA Resource Clearing Results'!J44/'BRA Load Pricing Results'!B16</f>
        <v>0.0009677956795928567</v>
      </c>
      <c r="J16" s="236">
        <f t="shared" si="0"/>
        <v>166.08216466717332</v>
      </c>
      <c r="K16" s="35"/>
      <c r="L16" s="18"/>
      <c r="M16" s="18"/>
    </row>
    <row r="17" spans="1:13" ht="12.75">
      <c r="A17" s="266" t="s">
        <v>41</v>
      </c>
      <c r="B17" s="263">
        <f>K35+K45+K46+K48+K52+K53</f>
        <v>37440.507177244195</v>
      </c>
      <c r="C17" s="166">
        <f>'BRA Resource Clearing Results'!B7</f>
        <v>118.54</v>
      </c>
      <c r="D17" s="166">
        <f>'BRA Resource Clearing Results'!C6+'BRA Resource Clearing Results'!C7</f>
        <v>31.46</v>
      </c>
      <c r="E17" s="158">
        <f>('BRA Resource Clearing Results'!C20+'BRA Resource Clearing Results'!D20)*('BRA Resource Clearing Results'!E7-'BRA Resource Clearing Results'!E6)</f>
        <v>0</v>
      </c>
      <c r="F17" s="166">
        <f>F16+(E17/B17)</f>
        <v>16.08119687149372</v>
      </c>
      <c r="G17" s="158">
        <f>'BRA Resource Clearing Results'!D20*('BRA Resource Clearing Results'!G7-'BRA Resource Clearing Results'!G6)</f>
        <v>0</v>
      </c>
      <c r="H17" s="166">
        <f>H16+(G17/B17)</f>
        <v>0</v>
      </c>
      <c r="I17" s="230">
        <f>I16+('BRA Resource Clearing Results'!J45/'BRA Load Pricing Results'!B17)</f>
        <v>0.0009677956795928567</v>
      </c>
      <c r="J17" s="236">
        <f t="shared" si="0"/>
        <v>166.08216466717332</v>
      </c>
      <c r="K17" s="35"/>
      <c r="L17" s="18"/>
      <c r="M17" s="18"/>
    </row>
    <row r="18" spans="1:13" ht="12.75">
      <c r="A18" s="266" t="s">
        <v>5</v>
      </c>
      <c r="B18" s="263">
        <f>K39+K50</f>
        <v>15919.133978282032</v>
      </c>
      <c r="C18" s="166">
        <f>'BRA Resource Clearing Results'!B8</f>
        <v>118.54</v>
      </c>
      <c r="D18" s="166">
        <f>'BRA Resource Clearing Results'!C6+'BRA Resource Clearing Results'!C8</f>
        <v>31.46</v>
      </c>
      <c r="E18" s="158">
        <f>('BRA Resource Clearing Results'!C21+'BRA Resource Clearing Results'!D21)*('BRA Resource Clearing Results'!E8-'BRA Resource Clearing Results'!E6)</f>
        <v>0</v>
      </c>
      <c r="F18" s="166">
        <f>F16+(E18/B18)</f>
        <v>16.08119687149372</v>
      </c>
      <c r="G18" s="158">
        <f>'BRA Resource Clearing Results'!D21*('BRA Resource Clearing Results'!G8-'BRA Resource Clearing Results'!G6)</f>
        <v>0</v>
      </c>
      <c r="H18" s="166">
        <f>H16+(G18/B18)</f>
        <v>0</v>
      </c>
      <c r="I18" s="230">
        <f>I16+('BRA Resource Clearing Results'!J46/'BRA Load Pricing Results'!B18)</f>
        <v>0.0009677956795928567</v>
      </c>
      <c r="J18" s="236">
        <f t="shared" si="0"/>
        <v>166.08216466717332</v>
      </c>
      <c r="K18" s="35"/>
      <c r="L18" s="18"/>
      <c r="M18" s="18"/>
    </row>
    <row r="19" spans="1:13" ht="12.75">
      <c r="A19" s="266" t="s">
        <v>15</v>
      </c>
      <c r="B19" s="263">
        <f>K50</f>
        <v>7709.26614042589</v>
      </c>
      <c r="C19" s="166">
        <f>'BRA Resource Clearing Results'!B12</f>
        <v>118.54</v>
      </c>
      <c r="D19" s="166">
        <f>'BRA Resource Clearing Results'!C6+'BRA Resource Clearing Results'!C8+'BRA Resource Clearing Results'!C12</f>
        <v>31.46</v>
      </c>
      <c r="E19" s="158">
        <f>('BRA Resource Clearing Results'!C25+'BRA Resource Clearing Results'!D25)*('BRA Resource Clearing Results'!E12-'BRA Resource Clearing Results'!E8)</f>
        <v>0</v>
      </c>
      <c r="F19" s="166">
        <f>F18+(E19/B19)</f>
        <v>16.08119687149372</v>
      </c>
      <c r="G19" s="158">
        <f>'BRA Resource Clearing Results'!D25*('BRA Resource Clearing Results'!G12-'BRA Resource Clearing Results'!G8)</f>
        <v>0</v>
      </c>
      <c r="H19" s="166">
        <f>H18+(G19/B19)</f>
        <v>0</v>
      </c>
      <c r="I19" s="230">
        <f>I18+('BRA Resource Clearing Results'!J50/'BRA Load Pricing Results'!B19)</f>
        <v>0.0009677956795928567</v>
      </c>
      <c r="J19" s="236">
        <f t="shared" si="0"/>
        <v>166.08216466717332</v>
      </c>
      <c r="K19" s="35"/>
      <c r="L19" s="18"/>
      <c r="M19" s="18"/>
    </row>
    <row r="20" spans="1:13" ht="13.5" thickBot="1">
      <c r="A20" s="267" t="s">
        <v>51</v>
      </c>
      <c r="B20" s="264">
        <f>K38</f>
        <v>14940.429536115023</v>
      </c>
      <c r="C20" s="237">
        <f>'BRA Resource Clearing Results'!B13</f>
        <v>118.54</v>
      </c>
      <c r="D20" s="237">
        <f>'BRA Resource Clearing Results'!C13</f>
        <v>186.08</v>
      </c>
      <c r="E20" s="238">
        <f>('BRA Resource Clearing Results'!C26+'BRA Resource Clearing Results'!D26)*('BRA Resource Clearing Results'!E13-'BRA Resource Clearing Results'!E5)</f>
        <v>0</v>
      </c>
      <c r="F20" s="237">
        <f>F15+(E20/B20)</f>
        <v>16.08119687149372</v>
      </c>
      <c r="G20" s="238">
        <f>'BRA Resource Clearing Results'!D26*('BRA Resource Clearing Results'!G13-'BRA Resource Clearing Results'!G5)</f>
        <v>322189.38</v>
      </c>
      <c r="H20" s="237">
        <f>H15+(G20/B20)</f>
        <v>21.564934208965138</v>
      </c>
      <c r="I20" s="313">
        <f>I15+('BRA Resource Clearing Results'!J51/'BRA Load Pricing Results'!B20)</f>
        <v>0.03681013867954162</v>
      </c>
      <c r="J20" s="239">
        <f t="shared" si="0"/>
        <v>342.3029412191384</v>
      </c>
      <c r="K20" s="35"/>
      <c r="L20" s="18"/>
      <c r="M20" s="18"/>
    </row>
    <row r="21" spans="1:13" s="10" customFormat="1" ht="12.75">
      <c r="A21" s="12" t="s">
        <v>127</v>
      </c>
      <c r="B21" s="35"/>
      <c r="C21" s="18"/>
      <c r="D21" s="18"/>
      <c r="E21" s="18"/>
      <c r="F21" s="71"/>
      <c r="H21" s="35"/>
      <c r="I21" s="35"/>
      <c r="J21" s="18"/>
      <c r="K21" s="35"/>
      <c r="L21" s="15"/>
      <c r="M21" s="15"/>
    </row>
    <row r="22" spans="1:13" s="10" customFormat="1" ht="13.5" thickBot="1">
      <c r="A22" s="12"/>
      <c r="B22" s="35"/>
      <c r="C22" s="18"/>
      <c r="D22" s="196" t="s">
        <v>24</v>
      </c>
      <c r="E22" s="196" t="s">
        <v>24</v>
      </c>
      <c r="F22" s="71"/>
      <c r="H22" s="35"/>
      <c r="I22" s="35"/>
      <c r="J22" s="18"/>
      <c r="K22" s="35"/>
      <c r="L22" s="15"/>
      <c r="M22" s="15"/>
    </row>
    <row r="23" spans="1:16" ht="30.75" thickBot="1">
      <c r="A23" s="240" t="s">
        <v>104</v>
      </c>
      <c r="E23" s="4" t="s">
        <v>24</v>
      </c>
      <c r="J23" s="39" t="s">
        <v>24</v>
      </c>
      <c r="K23" s="54" t="s">
        <v>24</v>
      </c>
      <c r="M23" s="10"/>
      <c r="N23" s="10"/>
      <c r="O23" s="10"/>
      <c r="P23" s="10"/>
    </row>
    <row r="24" spans="1:16" ht="109.5" customHeight="1">
      <c r="A24" s="271" t="s">
        <v>72</v>
      </c>
      <c r="B24" s="262" t="s">
        <v>131</v>
      </c>
      <c r="C24" s="94" t="s">
        <v>105</v>
      </c>
      <c r="D24" s="94" t="s">
        <v>180</v>
      </c>
      <c r="E24" s="95" t="s">
        <v>134</v>
      </c>
      <c r="F24" s="95" t="s">
        <v>129</v>
      </c>
      <c r="G24" s="95" t="s">
        <v>135</v>
      </c>
      <c r="H24" s="95" t="s">
        <v>130</v>
      </c>
      <c r="I24" s="94" t="s">
        <v>181</v>
      </c>
      <c r="J24" s="94" t="s">
        <v>182</v>
      </c>
      <c r="K24" s="108" t="s">
        <v>34</v>
      </c>
      <c r="N24" s="10"/>
      <c r="O24" s="23"/>
      <c r="P24" s="10"/>
    </row>
    <row r="25" spans="1:16" ht="12.75">
      <c r="A25" s="266" t="s">
        <v>45</v>
      </c>
      <c r="B25" s="268"/>
      <c r="C25" s="58">
        <f>'BRA Resource Clearing Results'!E34</f>
        <v>3088.5999999999995</v>
      </c>
      <c r="D25" s="60">
        <f>'BRA Resource Clearing Results'!C9</f>
        <v>0</v>
      </c>
      <c r="E25" s="60">
        <f>('BRA Resource Clearing Results'!C34+'BRA Resource Clearing Results'!D34)*('BRA Resource Clearing Results'!E9-'BRA Resource Clearing Results'!E7)</f>
        <v>0</v>
      </c>
      <c r="F25" s="44"/>
      <c r="G25" s="60">
        <f>'BRA Resource Clearing Results'!D34*('BRA Resource Clearing Results'!G9-'BRA Resource Clearing Results'!G7)</f>
        <v>0</v>
      </c>
      <c r="H25" s="44"/>
      <c r="I25" s="83">
        <f>'BRA Resource Clearing Results'!J47</f>
        <v>0</v>
      </c>
      <c r="J25" s="44"/>
      <c r="K25" s="110"/>
      <c r="N25" s="10"/>
      <c r="O25" s="159"/>
      <c r="P25" s="10"/>
    </row>
    <row r="26" spans="1:16" ht="12.75">
      <c r="A26" s="266" t="s">
        <v>42</v>
      </c>
      <c r="B26" s="268"/>
      <c r="C26" s="57">
        <f>'BRA Resource Clearing Results'!E35</f>
        <v>3641.2000000000003</v>
      </c>
      <c r="D26" s="60">
        <f>'BRA Resource Clearing Results'!C9+'BRA Resource Clearing Results'!C10</f>
        <v>0</v>
      </c>
      <c r="E26" s="60">
        <f>('BRA Resource Clearing Results'!C35+'BRA Resource Clearing Results'!D35)*('BRA Resource Clearing Results'!E10-'BRA Resource Clearing Results'!E7)</f>
        <v>0</v>
      </c>
      <c r="F26" s="44"/>
      <c r="G26" s="60">
        <f>'BRA Resource Clearing Results'!D35*('BRA Resource Clearing Results'!G10-'BRA Resource Clearing Results'!G7)</f>
        <v>0</v>
      </c>
      <c r="H26" s="44"/>
      <c r="I26" s="83">
        <f>'BRA Resource Clearing Results'!J48</f>
        <v>0</v>
      </c>
      <c r="J26" s="44"/>
      <c r="K26" s="110"/>
      <c r="N26" s="10"/>
      <c r="O26" s="159"/>
      <c r="P26" s="10"/>
    </row>
    <row r="27" spans="1:16" ht="12.75">
      <c r="A27" s="272" t="s">
        <v>8</v>
      </c>
      <c r="B27" s="269">
        <f>J17</f>
        <v>166.08216466717332</v>
      </c>
      <c r="C27" s="57">
        <f>C26+C25</f>
        <v>6729.799999999999</v>
      </c>
      <c r="D27" s="169">
        <f>(C26*D26+C25*D25)/C27</f>
        <v>0</v>
      </c>
      <c r="E27" s="130">
        <f>SUM(E25:E26)</f>
        <v>0</v>
      </c>
      <c r="F27" s="168">
        <f>E27/K52</f>
        <v>0</v>
      </c>
      <c r="G27" s="130">
        <f>SUM(G25:G26)</f>
        <v>0</v>
      </c>
      <c r="H27" s="168">
        <f>G27/K52</f>
        <v>0</v>
      </c>
      <c r="I27" s="83">
        <f>I25+I26</f>
        <v>0</v>
      </c>
      <c r="J27" s="170">
        <f>I27/K52</f>
        <v>0</v>
      </c>
      <c r="K27" s="164">
        <f>B27+D27+F27+H27+J27</f>
        <v>166.08216466717332</v>
      </c>
      <c r="N27" s="10"/>
      <c r="O27" s="160"/>
      <c r="P27" s="10"/>
    </row>
    <row r="28" spans="1:16" ht="12.75">
      <c r="A28" s="266" t="s">
        <v>44</v>
      </c>
      <c r="B28" s="268"/>
      <c r="C28" s="63">
        <v>3114.1</v>
      </c>
      <c r="D28" s="60">
        <v>0</v>
      </c>
      <c r="E28" s="130">
        <v>0</v>
      </c>
      <c r="F28" s="130"/>
      <c r="G28" s="60">
        <v>0</v>
      </c>
      <c r="H28" s="233"/>
      <c r="I28" s="83">
        <v>0</v>
      </c>
      <c r="J28" s="44"/>
      <c r="K28" s="110"/>
      <c r="N28" s="10"/>
      <c r="O28" s="159"/>
      <c r="P28" s="10"/>
    </row>
    <row r="29" spans="1:16" ht="12.75">
      <c r="A29" s="266" t="s">
        <v>43</v>
      </c>
      <c r="B29" s="268"/>
      <c r="C29" s="57">
        <f>'BRA Resource Clearing Results'!E36</f>
        <v>1722.1</v>
      </c>
      <c r="D29" s="82">
        <f>'BRA Resource Clearing Results'!C11</f>
        <v>0</v>
      </c>
      <c r="E29" s="130">
        <f>('BRA Resource Clearing Results'!C36+'BRA Resource Clearing Results'!D36)*('BRA Resource Clearing Results'!E11-'BRA Resource Clearing Results'!E7)</f>
        <v>0</v>
      </c>
      <c r="F29" s="44"/>
      <c r="G29" s="60">
        <f>'BRA Resource Clearing Results'!D36*('BRA Resource Clearing Results'!G11-'BRA Resource Clearing Results'!G7)</f>
        <v>0</v>
      </c>
      <c r="H29" s="44"/>
      <c r="I29" s="83">
        <f>'BRA Resource Clearing Results'!J49</f>
        <v>0</v>
      </c>
      <c r="J29" s="44"/>
      <c r="K29" s="110"/>
      <c r="N29" s="10"/>
      <c r="O29" s="161"/>
      <c r="P29" s="10"/>
    </row>
    <row r="30" spans="1:16" ht="13.5" thickBot="1">
      <c r="A30" s="273" t="s">
        <v>17</v>
      </c>
      <c r="B30" s="270">
        <f>J17</f>
        <v>166.08216466717332</v>
      </c>
      <c r="C30" s="111">
        <f>C28+C29</f>
        <v>4836.2</v>
      </c>
      <c r="D30" s="172">
        <f>(C29*D29+C28*D28)/C30</f>
        <v>0</v>
      </c>
      <c r="E30" s="131">
        <f>SUM(E28:E29)</f>
        <v>0</v>
      </c>
      <c r="F30" s="171">
        <f>E30/K45</f>
        <v>0</v>
      </c>
      <c r="G30" s="131">
        <f>SUM(G28:G29)</f>
        <v>0</v>
      </c>
      <c r="H30" s="171">
        <f>G30/K45</f>
        <v>0</v>
      </c>
      <c r="I30" s="173">
        <f>I28+I29</f>
        <v>0</v>
      </c>
      <c r="J30" s="174">
        <f>I30/K45</f>
        <v>0</v>
      </c>
      <c r="K30" s="165">
        <f>B30+D30+F30+H30+J30</f>
        <v>166.08216466717332</v>
      </c>
      <c r="N30" s="10"/>
      <c r="O30" s="160"/>
      <c r="P30" s="10"/>
    </row>
    <row r="31" spans="1:16" ht="12.75">
      <c r="A31" s="663"/>
      <c r="B31" s="663"/>
      <c r="C31" s="663"/>
      <c r="D31" s="663"/>
      <c r="E31" s="663"/>
      <c r="F31" s="663"/>
      <c r="G31" s="663"/>
      <c r="M31" s="10"/>
      <c r="N31" s="10"/>
      <c r="O31" s="10"/>
      <c r="P31" s="10"/>
    </row>
    <row r="32" spans="1:13" ht="13.5" thickBot="1">
      <c r="A32" s="10"/>
      <c r="B32" s="9"/>
      <c r="C32" s="9"/>
      <c r="D32" s="9"/>
      <c r="E32" s="62"/>
      <c r="F32" s="43" t="s">
        <v>24</v>
      </c>
      <c r="G32" s="5"/>
      <c r="H32" s="5"/>
      <c r="I32" s="5"/>
      <c r="J32" s="5"/>
      <c r="K32" s="5"/>
      <c r="L32" s="13"/>
      <c r="M32" s="13"/>
    </row>
    <row r="33" spans="1:13" s="2" customFormat="1" ht="19.5" thickBot="1">
      <c r="A33" s="92" t="s">
        <v>47</v>
      </c>
      <c r="B33" s="3"/>
      <c r="E33" s="76"/>
      <c r="F33" s="76"/>
      <c r="G33" s="76"/>
      <c r="H33" s="76"/>
      <c r="I33" s="76"/>
      <c r="J33" s="76"/>
      <c r="K33" s="76"/>
      <c r="L33" s="42"/>
      <c r="M33" s="34"/>
    </row>
    <row r="34" spans="1:13" ht="54.75" customHeight="1">
      <c r="A34" s="276" t="s">
        <v>7</v>
      </c>
      <c r="B34" s="86" t="s">
        <v>28</v>
      </c>
      <c r="C34" s="87" t="s">
        <v>27</v>
      </c>
      <c r="D34" s="254" t="s">
        <v>36</v>
      </c>
      <c r="E34" s="86" t="s">
        <v>145</v>
      </c>
      <c r="F34" s="87" t="s">
        <v>22</v>
      </c>
      <c r="G34" s="87" t="s">
        <v>148</v>
      </c>
      <c r="H34" s="87" t="s">
        <v>31</v>
      </c>
      <c r="I34" s="88" t="s">
        <v>23</v>
      </c>
      <c r="J34" s="88" t="s">
        <v>25</v>
      </c>
      <c r="K34" s="88" t="s">
        <v>26</v>
      </c>
      <c r="L34" s="154" t="s">
        <v>37</v>
      </c>
      <c r="M34" s="75"/>
    </row>
    <row r="35" spans="1:13" ht="12.75">
      <c r="A35" s="266" t="s">
        <v>16</v>
      </c>
      <c r="B35" s="277" t="s">
        <v>30</v>
      </c>
      <c r="C35" s="85" t="s">
        <v>41</v>
      </c>
      <c r="D35" s="255"/>
      <c r="E35" s="279">
        <v>2520</v>
      </c>
      <c r="F35" s="81">
        <v>1.0853174603174602</v>
      </c>
      <c r="G35" s="79">
        <f>E35*F35</f>
        <v>2735</v>
      </c>
      <c r="H35" s="80">
        <f>$B$9*G35/$G$54</f>
        <v>74.24843056864367</v>
      </c>
      <c r="I35" s="81">
        <f>$B$10</f>
        <v>1.010958769747006</v>
      </c>
      <c r="J35" s="81">
        <f>I35*F35</f>
        <v>1.0972112044674844</v>
      </c>
      <c r="K35" s="79">
        <f>E35*J35*$B$6+H35</f>
        <v>3076.731780835372</v>
      </c>
      <c r="L35" s="162">
        <f>J17</f>
        <v>166.08216466717332</v>
      </c>
      <c r="M35" s="10"/>
    </row>
    <row r="36" spans="1:13" ht="12.75">
      <c r="A36" s="266" t="s">
        <v>57</v>
      </c>
      <c r="B36" s="277"/>
      <c r="C36" s="85"/>
      <c r="D36" s="255"/>
      <c r="E36" s="279">
        <v>10884.3</v>
      </c>
      <c r="F36" s="81">
        <v>1.06817</v>
      </c>
      <c r="G36" s="79">
        <f aca="true" t="shared" si="1" ref="G36:G53">E36*F36</f>
        <v>11626.282731</v>
      </c>
      <c r="H36" s="80">
        <f aca="true" t="shared" si="2" ref="H36:H53">$B$9*G36/$G$54</f>
        <v>315.6245872482904</v>
      </c>
      <c r="I36" s="81">
        <f aca="true" t="shared" si="3" ref="I36:I42">$B$10</f>
        <v>1.010958769747006</v>
      </c>
      <c r="J36" s="81">
        <f aca="true" t="shared" si="4" ref="J36:J53">I36*F36</f>
        <v>1.0798758290806594</v>
      </c>
      <c r="K36" s="79">
        <f aca="true" t="shared" si="5" ref="K36:K53">E36*J36*$B$6+H36</f>
        <v>13078.959258298051</v>
      </c>
      <c r="L36" s="162">
        <f>J15</f>
        <v>134.62216466717334</v>
      </c>
      <c r="M36" s="10"/>
    </row>
    <row r="37" spans="1:13" ht="12.75">
      <c r="A37" s="266" t="s">
        <v>19</v>
      </c>
      <c r="B37" s="277" t="s">
        <v>24</v>
      </c>
      <c r="C37" s="85"/>
      <c r="D37" s="255"/>
      <c r="E37" s="279">
        <v>8210</v>
      </c>
      <c r="F37" s="81">
        <v>1.0661388550548112</v>
      </c>
      <c r="G37" s="79">
        <f t="shared" si="1"/>
        <v>8753</v>
      </c>
      <c r="H37" s="80">
        <f t="shared" si="2"/>
        <v>237.6221253262662</v>
      </c>
      <c r="I37" s="81">
        <f t="shared" si="3"/>
        <v>1.010958769747006</v>
      </c>
      <c r="J37" s="81">
        <f t="shared" si="4"/>
        <v>1.0778224252856934</v>
      </c>
      <c r="K37" s="79">
        <f t="shared" si="5"/>
        <v>9846.666646307867</v>
      </c>
      <c r="L37" s="162">
        <f>J15</f>
        <v>134.62216466717334</v>
      </c>
      <c r="M37" s="10"/>
    </row>
    <row r="38" spans="1:13" ht="12.75">
      <c r="A38" s="266" t="s">
        <v>51</v>
      </c>
      <c r="B38" s="277"/>
      <c r="C38" s="85"/>
      <c r="D38" s="255" t="s">
        <v>51</v>
      </c>
      <c r="E38" s="279">
        <v>12620</v>
      </c>
      <c r="F38" s="81">
        <v>1.052377179080824</v>
      </c>
      <c r="G38" s="79">
        <f t="shared" si="1"/>
        <v>13281</v>
      </c>
      <c r="H38" s="80">
        <f t="shared" si="2"/>
        <v>360.54603524027664</v>
      </c>
      <c r="I38" s="81">
        <f t="shared" si="3"/>
        <v>1.010958769747006</v>
      </c>
      <c r="J38" s="81">
        <f t="shared" si="4"/>
        <v>1.0639099382733745</v>
      </c>
      <c r="K38" s="79">
        <f t="shared" si="5"/>
        <v>14940.429536115023</v>
      </c>
      <c r="L38" s="162">
        <f>J20</f>
        <v>342.3029412191384</v>
      </c>
      <c r="M38" s="10"/>
    </row>
    <row r="39" spans="1:13" ht="12.75">
      <c r="A39" s="266" t="s">
        <v>11</v>
      </c>
      <c r="B39" s="277" t="s">
        <v>30</v>
      </c>
      <c r="C39" s="85" t="s">
        <v>5</v>
      </c>
      <c r="D39" s="255"/>
      <c r="E39" s="279">
        <v>6960</v>
      </c>
      <c r="F39" s="81">
        <v>1.0485632183908047</v>
      </c>
      <c r="G39" s="79">
        <f t="shared" si="1"/>
        <v>7298.000000000001</v>
      </c>
      <c r="H39" s="80">
        <f t="shared" si="2"/>
        <v>198.1225032138799</v>
      </c>
      <c r="I39" s="81">
        <f t="shared" si="3"/>
        <v>1.010958769747006</v>
      </c>
      <c r="J39" s="81">
        <f t="shared" si="4"/>
        <v>1.060054181266329</v>
      </c>
      <c r="K39" s="79">
        <f t="shared" si="5"/>
        <v>8209.867837856144</v>
      </c>
      <c r="L39" s="162">
        <f>J18</f>
        <v>166.08216466717332</v>
      </c>
      <c r="M39" s="10"/>
    </row>
    <row r="40" spans="1:13" ht="12.75">
      <c r="A40" s="266" t="s">
        <v>20</v>
      </c>
      <c r="B40" s="277"/>
      <c r="C40" s="85"/>
      <c r="D40" s="255"/>
      <c r="E40" s="279">
        <v>21480</v>
      </c>
      <c r="F40" s="81">
        <v>1.096973929236499</v>
      </c>
      <c r="G40" s="79">
        <f t="shared" si="1"/>
        <v>23563</v>
      </c>
      <c r="H40" s="80">
        <f t="shared" si="2"/>
        <v>639.6766981678065</v>
      </c>
      <c r="I40" s="81">
        <f t="shared" si="3"/>
        <v>1.010958769747006</v>
      </c>
      <c r="J40" s="81">
        <f t="shared" si="4"/>
        <v>1.1089954139454703</v>
      </c>
      <c r="K40" s="79">
        <f t="shared" si="5"/>
        <v>26507.141115840546</v>
      </c>
      <c r="L40" s="162">
        <f>J15</f>
        <v>134.62216466717334</v>
      </c>
      <c r="M40" s="10"/>
    </row>
    <row r="41" spans="1:13" ht="12.75">
      <c r="A41" s="266" t="s">
        <v>21</v>
      </c>
      <c r="B41" s="277"/>
      <c r="C41" s="85"/>
      <c r="D41" s="255"/>
      <c r="E41" s="279">
        <v>3180</v>
      </c>
      <c r="F41" s="81">
        <v>1.1</v>
      </c>
      <c r="G41" s="79">
        <f t="shared" si="1"/>
        <v>3498.0000000000005</v>
      </c>
      <c r="H41" s="80">
        <f t="shared" si="2"/>
        <v>94.96197810936584</v>
      </c>
      <c r="I41" s="81">
        <f t="shared" si="3"/>
        <v>1.010958769747006</v>
      </c>
      <c r="J41" s="81">
        <f>I41*F41</f>
        <v>1.1120546467217067</v>
      </c>
      <c r="K41" s="79">
        <f t="shared" si="5"/>
        <v>3935.0668260921884</v>
      </c>
      <c r="L41" s="162">
        <f>J15</f>
        <v>134.62216466717334</v>
      </c>
      <c r="M41" s="10"/>
    </row>
    <row r="42" spans="1:13" ht="12.75">
      <c r="A42" s="266" t="s">
        <v>65</v>
      </c>
      <c r="B42" s="277"/>
      <c r="C42" s="85"/>
      <c r="D42" s="255"/>
      <c r="E42" s="279">
        <v>4413.7</v>
      </c>
      <c r="F42" s="81">
        <v>1.079047619047619</v>
      </c>
      <c r="G42" s="79">
        <f t="shared" si="1"/>
        <v>4762.592476190476</v>
      </c>
      <c r="H42" s="80">
        <f t="shared" si="2"/>
        <v>129.2925107112151</v>
      </c>
      <c r="I42" s="81">
        <f t="shared" si="3"/>
        <v>1.010958769747006</v>
      </c>
      <c r="J42" s="81">
        <f>I42*F42</f>
        <v>1.0908726534508169</v>
      </c>
      <c r="K42" s="79">
        <f t="shared" si="5"/>
        <v>5357.667141010116</v>
      </c>
      <c r="L42" s="162">
        <f>J15</f>
        <v>134.62216466717334</v>
      </c>
      <c r="M42" s="10"/>
    </row>
    <row r="43" spans="1:13" ht="12.75">
      <c r="A43" s="266" t="s">
        <v>50</v>
      </c>
      <c r="B43" s="277"/>
      <c r="C43" s="85"/>
      <c r="D43" s="255"/>
      <c r="E43" s="279">
        <v>2800</v>
      </c>
      <c r="F43" s="81">
        <v>1.0603571428571428</v>
      </c>
      <c r="G43" s="79">
        <f t="shared" si="1"/>
        <v>2969</v>
      </c>
      <c r="H43" s="80">
        <f t="shared" si="2"/>
        <v>80.60094711455322</v>
      </c>
      <c r="I43" s="81">
        <f aca="true" t="shared" si="6" ref="I43:I53">$B$10</f>
        <v>1.010958769747006</v>
      </c>
      <c r="J43" s="81">
        <f>I43*F43</f>
        <v>1.0719773526353074</v>
      </c>
      <c r="K43" s="79">
        <f t="shared" si="5"/>
        <v>3339.969527349258</v>
      </c>
      <c r="L43" s="162">
        <f>J15</f>
        <v>134.62216466717334</v>
      </c>
      <c r="M43" s="10"/>
    </row>
    <row r="44" spans="1:13" ht="12.75">
      <c r="A44" s="266" t="s">
        <v>33</v>
      </c>
      <c r="B44" s="277"/>
      <c r="C44" s="85"/>
      <c r="D44" s="255"/>
      <c r="E44" s="279">
        <v>18530</v>
      </c>
      <c r="F44" s="81">
        <v>1.097733405288721</v>
      </c>
      <c r="G44" s="79">
        <f t="shared" si="1"/>
        <v>20341.000000000004</v>
      </c>
      <c r="H44" s="80">
        <f t="shared" si="2"/>
        <v>552.2074318818212</v>
      </c>
      <c r="I44" s="81">
        <f t="shared" si="6"/>
        <v>1.010958769747006</v>
      </c>
      <c r="J44" s="81">
        <f t="shared" si="4"/>
        <v>1.109763212920877</v>
      </c>
      <c r="K44" s="79">
        <f t="shared" si="5"/>
        <v>22882.559836918583</v>
      </c>
      <c r="L44" s="162">
        <f>J15</f>
        <v>134.62216466717334</v>
      </c>
      <c r="M44" s="10"/>
    </row>
    <row r="45" spans="1:13" ht="12.75">
      <c r="A45" s="266" t="s">
        <v>17</v>
      </c>
      <c r="B45" s="277" t="s">
        <v>30</v>
      </c>
      <c r="C45" s="85" t="s">
        <v>41</v>
      </c>
      <c r="D45" s="255" t="s">
        <v>17</v>
      </c>
      <c r="E45" s="279">
        <v>3920</v>
      </c>
      <c r="F45" s="81">
        <v>1.0650510204081634</v>
      </c>
      <c r="G45" s="79">
        <f t="shared" si="1"/>
        <v>4175</v>
      </c>
      <c r="H45" s="80">
        <f t="shared" si="2"/>
        <v>113.34084008193321</v>
      </c>
      <c r="I45" s="81">
        <f t="shared" si="6"/>
        <v>1.010958769747006</v>
      </c>
      <c r="J45" s="81">
        <f t="shared" si="4"/>
        <v>1.0767226693096301</v>
      </c>
      <c r="K45" s="79">
        <f t="shared" si="5"/>
        <v>4696.656374766977</v>
      </c>
      <c r="L45" s="162">
        <f>K30</f>
        <v>166.08216466717332</v>
      </c>
      <c r="M45" s="10"/>
    </row>
    <row r="46" spans="1:13" ht="12.75">
      <c r="A46" s="266" t="s">
        <v>12</v>
      </c>
      <c r="B46" s="277" t="s">
        <v>30</v>
      </c>
      <c r="C46" s="85" t="s">
        <v>41</v>
      </c>
      <c r="D46" s="255"/>
      <c r="E46" s="279">
        <v>5960</v>
      </c>
      <c r="F46" s="81">
        <v>1.065268456375839</v>
      </c>
      <c r="G46" s="79">
        <f t="shared" si="1"/>
        <v>6349</v>
      </c>
      <c r="H46" s="80">
        <f t="shared" si="2"/>
        <v>172.35951944435783</v>
      </c>
      <c r="I46" s="81">
        <f t="shared" si="6"/>
        <v>1.010958769747006</v>
      </c>
      <c r="J46" s="81">
        <f t="shared" si="4"/>
        <v>1.0769424881080103</v>
      </c>
      <c r="K46" s="79">
        <f t="shared" si="5"/>
        <v>7142.29253254983</v>
      </c>
      <c r="L46" s="162">
        <f>J17</f>
        <v>166.08216466717332</v>
      </c>
      <c r="M46" s="10"/>
    </row>
    <row r="47" spans="1:13" ht="12.75">
      <c r="A47" s="266" t="s">
        <v>13</v>
      </c>
      <c r="B47" s="277" t="s">
        <v>30</v>
      </c>
      <c r="C47" s="85"/>
      <c r="D47" s="255"/>
      <c r="E47" s="279">
        <v>2800</v>
      </c>
      <c r="F47" s="81">
        <v>1.0932142857142857</v>
      </c>
      <c r="G47" s="79">
        <f t="shared" si="1"/>
        <v>3061</v>
      </c>
      <c r="H47" s="80">
        <f t="shared" si="2"/>
        <v>83.09851772234671</v>
      </c>
      <c r="I47" s="81">
        <f t="shared" si="6"/>
        <v>1.010958769747006</v>
      </c>
      <c r="J47" s="81">
        <f t="shared" si="4"/>
        <v>1.105194569355566</v>
      </c>
      <c r="K47" s="79">
        <f t="shared" si="5"/>
        <v>3443.4647097393326</v>
      </c>
      <c r="L47" s="162">
        <f>J16</f>
        <v>166.08216466717332</v>
      </c>
      <c r="M47" s="10"/>
    </row>
    <row r="48" spans="1:13" ht="12.75">
      <c r="A48" s="266" t="s">
        <v>9</v>
      </c>
      <c r="B48" s="277" t="s">
        <v>30</v>
      </c>
      <c r="C48" s="85" t="s">
        <v>41</v>
      </c>
      <c r="D48" s="255"/>
      <c r="E48" s="279">
        <v>8370</v>
      </c>
      <c r="F48" s="81">
        <v>1.072520908004779</v>
      </c>
      <c r="G48" s="79">
        <f t="shared" si="1"/>
        <v>8977</v>
      </c>
      <c r="H48" s="80">
        <f t="shared" si="2"/>
        <v>243.7031668061112</v>
      </c>
      <c r="I48" s="81">
        <f t="shared" si="6"/>
        <v>1.010958769747006</v>
      </c>
      <c r="J48" s="81">
        <f t="shared" si="4"/>
        <v>1.0842744176844532</v>
      </c>
      <c r="K48" s="79">
        <f t="shared" si="5"/>
        <v>10098.654916475009</v>
      </c>
      <c r="L48" s="162">
        <f>J17</f>
        <v>166.08216466717332</v>
      </c>
      <c r="M48" s="10"/>
    </row>
    <row r="49" spans="1:13" ht="12.75">
      <c r="A49" s="266" t="s">
        <v>14</v>
      </c>
      <c r="B49" s="277" t="s">
        <v>30</v>
      </c>
      <c r="C49" s="85"/>
      <c r="D49" s="255"/>
      <c r="E49" s="279">
        <v>2720</v>
      </c>
      <c r="F49" s="81">
        <v>1.1136029411764705</v>
      </c>
      <c r="G49" s="79">
        <f t="shared" si="1"/>
        <v>3029</v>
      </c>
      <c r="H49" s="80">
        <f t="shared" si="2"/>
        <v>82.22979751094029</v>
      </c>
      <c r="I49" s="81">
        <f t="shared" si="6"/>
        <v>1.010958769747006</v>
      </c>
      <c r="J49" s="81">
        <f t="shared" si="4"/>
        <v>1.125806659398412</v>
      </c>
      <c r="K49" s="79">
        <f t="shared" si="5"/>
        <v>3407.4663854297414</v>
      </c>
      <c r="L49" s="162">
        <f>J16</f>
        <v>166.08216466717332</v>
      </c>
      <c r="M49" s="10"/>
    </row>
    <row r="50" spans="1:13" ht="12.75">
      <c r="A50" s="266" t="s">
        <v>15</v>
      </c>
      <c r="B50" s="277" t="s">
        <v>30</v>
      </c>
      <c r="C50" s="85" t="s">
        <v>5</v>
      </c>
      <c r="D50" s="255" t="s">
        <v>15</v>
      </c>
      <c r="E50" s="279">
        <v>6600</v>
      </c>
      <c r="F50" s="81">
        <v>1.0383333333333333</v>
      </c>
      <c r="G50" s="79">
        <f t="shared" si="1"/>
        <v>6853</v>
      </c>
      <c r="H50" s="80">
        <f t="shared" si="2"/>
        <v>186.04186277400916</v>
      </c>
      <c r="I50" s="81">
        <f t="shared" si="6"/>
        <v>1.010958769747006</v>
      </c>
      <c r="J50" s="81">
        <f t="shared" si="4"/>
        <v>1.0497121892539745</v>
      </c>
      <c r="K50" s="79">
        <f t="shared" si="5"/>
        <v>7709.26614042589</v>
      </c>
      <c r="L50" s="162">
        <f>J19</f>
        <v>166.08216466717332</v>
      </c>
      <c r="M50" s="10"/>
    </row>
    <row r="51" spans="1:13" ht="12.75">
      <c r="A51" s="266" t="s">
        <v>10</v>
      </c>
      <c r="B51" s="277" t="s">
        <v>30</v>
      </c>
      <c r="C51" s="85"/>
      <c r="D51" s="255"/>
      <c r="E51" s="279">
        <v>7065</v>
      </c>
      <c r="F51" s="81">
        <v>1.0734607218683652</v>
      </c>
      <c r="G51" s="79">
        <f t="shared" si="1"/>
        <v>7584</v>
      </c>
      <c r="H51" s="80">
        <f t="shared" si="2"/>
        <v>205.8866901033249</v>
      </c>
      <c r="I51" s="81">
        <f t="shared" si="6"/>
        <v>1.010958769747006</v>
      </c>
      <c r="J51" s="81">
        <f t="shared" si="4"/>
        <v>1.0852245307517754</v>
      </c>
      <c r="K51" s="79">
        <f t="shared" si="5"/>
        <v>8531.602861373114</v>
      </c>
      <c r="L51" s="162">
        <f>J16</f>
        <v>166.08216466717332</v>
      </c>
      <c r="M51" s="10"/>
    </row>
    <row r="52" spans="1:13" ht="12.75">
      <c r="A52" s="266" t="s">
        <v>8</v>
      </c>
      <c r="B52" s="277" t="s">
        <v>30</v>
      </c>
      <c r="C52" s="85" t="s">
        <v>41</v>
      </c>
      <c r="D52" s="255" t="s">
        <v>8</v>
      </c>
      <c r="E52" s="279">
        <v>10150</v>
      </c>
      <c r="F52" s="81">
        <v>1.0466995073891625</v>
      </c>
      <c r="G52" s="79">
        <f t="shared" si="1"/>
        <v>10624</v>
      </c>
      <c r="H52" s="80">
        <f t="shared" si="2"/>
        <v>288.41511018693615</v>
      </c>
      <c r="I52" s="81">
        <f t="shared" si="6"/>
        <v>1.010958769747006</v>
      </c>
      <c r="J52" s="81">
        <f t="shared" si="4"/>
        <v>1.0581700462849448</v>
      </c>
      <c r="K52" s="79">
        <f t="shared" si="5"/>
        <v>11951.443670784276</v>
      </c>
      <c r="L52" s="162">
        <f>K27</f>
        <v>166.08216466717332</v>
      </c>
      <c r="M52" s="10"/>
    </row>
    <row r="53" spans="1:13" ht="13.5" thickBot="1">
      <c r="A53" s="267" t="s">
        <v>18</v>
      </c>
      <c r="B53" s="278" t="s">
        <v>30</v>
      </c>
      <c r="C53" s="89" t="s">
        <v>41</v>
      </c>
      <c r="D53" s="256"/>
      <c r="E53" s="280">
        <v>400</v>
      </c>
      <c r="F53" s="91">
        <v>1.055</v>
      </c>
      <c r="G53" s="241">
        <f t="shared" si="1"/>
        <v>422</v>
      </c>
      <c r="H53" s="90">
        <f t="shared" si="2"/>
        <v>11.45624778792235</v>
      </c>
      <c r="I53" s="91">
        <f t="shared" si="6"/>
        <v>1.010958769747006</v>
      </c>
      <c r="J53" s="91">
        <f t="shared" si="4"/>
        <v>1.0665615020830912</v>
      </c>
      <c r="K53" s="241">
        <f t="shared" si="5"/>
        <v>474.72790183273383</v>
      </c>
      <c r="L53" s="163">
        <f>J17</f>
        <v>166.08216466717332</v>
      </c>
      <c r="M53" s="10"/>
    </row>
    <row r="54" spans="1:13" ht="12.75">
      <c r="A54" s="274" t="s">
        <v>92</v>
      </c>
      <c r="B54" s="12"/>
      <c r="C54" s="10"/>
      <c r="D54" s="10"/>
      <c r="E54" s="314">
        <f>SUM(E35:E53)</f>
        <v>139583</v>
      </c>
      <c r="F54" s="275"/>
      <c r="G54" s="315">
        <f>SUM(G35:G53)</f>
        <v>149900.87520719046</v>
      </c>
      <c r="H54" s="315">
        <f>SUM(H35:H53)</f>
        <v>4069.435</v>
      </c>
      <c r="I54" s="21"/>
      <c r="J54" s="21"/>
      <c r="K54" s="316">
        <f>SUM(K35:K53)</f>
        <v>168630.63500000004</v>
      </c>
      <c r="L54" s="27"/>
      <c r="M54" s="27"/>
    </row>
    <row r="55" spans="1:12" ht="12.75">
      <c r="A55" s="317" t="s">
        <v>58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30.75" customHeight="1">
      <c r="A56" s="664" t="s">
        <v>103</v>
      </c>
      <c r="B56" s="664"/>
      <c r="C56" s="664"/>
      <c r="D56" s="664"/>
      <c r="E56" s="664"/>
      <c r="F56" s="664"/>
      <c r="G56" s="664"/>
      <c r="H56" s="664"/>
      <c r="I56" s="664"/>
      <c r="J56" s="664"/>
      <c r="K56" s="664"/>
      <c r="L56" s="664"/>
    </row>
    <row r="57" spans="1:10" ht="12.75">
      <c r="A57" s="12"/>
      <c r="C57" s="7"/>
      <c r="D57" s="7"/>
      <c r="E57" s="11"/>
      <c r="F57" s="7"/>
      <c r="G57" s="7"/>
      <c r="I57" s="7"/>
      <c r="J57" s="7" t="s">
        <v>24</v>
      </c>
    </row>
    <row r="58" spans="1:10" ht="12.75">
      <c r="A58" s="12"/>
      <c r="C58" s="7"/>
      <c r="D58" s="7"/>
      <c r="E58" s="11"/>
      <c r="F58" s="7"/>
      <c r="G58" s="7"/>
      <c r="I58" s="7"/>
      <c r="J58" s="7"/>
    </row>
    <row r="60" ht="15">
      <c r="A60" s="67"/>
    </row>
    <row r="71" ht="12.75">
      <c r="B71" s="6" t="s">
        <v>24</v>
      </c>
    </row>
    <row r="72" ht="12.75">
      <c r="B72" s="6" t="s">
        <v>24</v>
      </c>
    </row>
    <row r="73" spans="2:4" ht="12.75">
      <c r="B73" s="6" t="s">
        <v>24</v>
      </c>
      <c r="C73" s="6" t="s">
        <v>24</v>
      </c>
      <c r="D73" s="6" t="s">
        <v>24</v>
      </c>
    </row>
    <row r="74" ht="12.75">
      <c r="B74" s="6" t="s">
        <v>24</v>
      </c>
    </row>
    <row r="75" ht="12.75">
      <c r="B75" s="6" t="s">
        <v>24</v>
      </c>
    </row>
    <row r="76" ht="12.75">
      <c r="B76" s="6" t="s">
        <v>24</v>
      </c>
    </row>
  </sheetData>
  <sheetProtection/>
  <mergeCells count="2">
    <mergeCell ref="A31:G31"/>
    <mergeCell ref="A56:L56"/>
  </mergeCells>
  <printOptions/>
  <pageMargins left="0.45" right="0.2" top="0.25" bottom="0.25" header="0" footer="0"/>
  <pageSetup fitToHeight="1" fitToWidth="1" horizontalDpi="600" verticalDpi="600" orientation="landscape" paperSize="5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20" width="15.7109375" style="0" customWidth="1"/>
    <col min="21" max="21" width="17.28125" style="0" customWidth="1"/>
    <col min="22" max="22" width="15.7109375" style="0" customWidth="1"/>
  </cols>
  <sheetData>
    <row r="1" spans="1:19" ht="18.75">
      <c r="A1" s="24" t="s">
        <v>146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thickBot="1">
      <c r="A2" s="1" t="s">
        <v>24</v>
      </c>
      <c r="B2" s="6"/>
      <c r="C2" s="6"/>
      <c r="D2" s="39" t="s">
        <v>24</v>
      </c>
      <c r="E2" s="7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thickBot="1">
      <c r="A3" s="107" t="s">
        <v>87</v>
      </c>
      <c r="B3" s="1"/>
      <c r="C3" s="1"/>
      <c r="D3" s="1"/>
      <c r="E3" s="68"/>
      <c r="F3" s="6"/>
      <c r="G3" s="6"/>
      <c r="H3" s="19" t="s">
        <v>24</v>
      </c>
      <c r="I3" s="69"/>
      <c r="J3" s="19"/>
      <c r="K3" s="19"/>
      <c r="L3" s="19"/>
      <c r="S3" s="19"/>
    </row>
    <row r="4" spans="1:14" ht="109.5" customHeight="1">
      <c r="A4" s="242" t="s">
        <v>3</v>
      </c>
      <c r="B4" s="95" t="s">
        <v>88</v>
      </c>
      <c r="C4" s="95" t="s">
        <v>89</v>
      </c>
      <c r="D4" s="95" t="s">
        <v>31</v>
      </c>
      <c r="E4" s="95" t="s">
        <v>149</v>
      </c>
      <c r="F4" s="94" t="s">
        <v>90</v>
      </c>
      <c r="G4" s="224" t="s">
        <v>176</v>
      </c>
      <c r="H4" s="94" t="s">
        <v>99</v>
      </c>
      <c r="I4" s="224" t="s">
        <v>177</v>
      </c>
      <c r="J4" s="108" t="s">
        <v>188</v>
      </c>
      <c r="K4" s="23"/>
      <c r="N4" s="23"/>
    </row>
    <row r="5" spans="1:14" ht="12.75">
      <c r="A5" s="243" t="s">
        <v>30</v>
      </c>
      <c r="B5" s="143">
        <f>'BRA Load Pricing Results'!B16</f>
        <v>68742.17511206842</v>
      </c>
      <c r="C5" s="143">
        <f>'BRA Resource Clearing Results'!E19</f>
        <v>65790.4</v>
      </c>
      <c r="D5" s="57">
        <f>'BRA Load Pricing Results'!H35+'BRA Load Pricing Results'!H39+'BRA Load Pricing Results'!H45+'BRA Load Pricing Results'!H46+'BRA Load Pricing Results'!H47+'BRA Load Pricing Results'!H48+'BRA Load Pricing Results'!H49+'BRA Load Pricing Results'!H50+'BRA Load Pricing Results'!H51+'BRA Load Pricing Results'!H52+'BRA Load Pricing Results'!H53</f>
        <v>1658.9026862004055</v>
      </c>
      <c r="E5" s="304">
        <f>B5-C5-D5-75</f>
        <v>1217.8724258680206</v>
      </c>
      <c r="F5" s="57">
        <f>'BRA Resource Clearing Results'!B56</f>
        <v>0</v>
      </c>
      <c r="G5" s="57">
        <f aca="true" t="shared" si="0" ref="G5:G11">E5-F5</f>
        <v>1217.8724258680206</v>
      </c>
      <c r="H5" s="57">
        <f>'BRA ICTRs'!B19</f>
        <v>159</v>
      </c>
      <c r="I5" s="57">
        <f>'BRA ICTRs'!B11+'BRA ICTRs'!B16</f>
        <v>399</v>
      </c>
      <c r="J5" s="244">
        <f aca="true" t="shared" si="1" ref="J5:J11">G5-H5-I5</f>
        <v>659.8724258680206</v>
      </c>
      <c r="K5" s="140"/>
      <c r="N5" s="9"/>
    </row>
    <row r="6" spans="1:14" ht="12.75">
      <c r="A6" s="243" t="s">
        <v>41</v>
      </c>
      <c r="B6" s="143">
        <f>'BRA Load Pricing Results'!B17</f>
        <v>37440.507177244195</v>
      </c>
      <c r="C6" s="143">
        <f>'BRA Resource Clearing Results'!E20</f>
        <v>33047.700000000004</v>
      </c>
      <c r="D6" s="57">
        <f>'BRA Load Pricing Results'!H35+'BRA Load Pricing Results'!H45+'BRA Load Pricing Results'!H46+'BRA Load Pricing Results'!H48+'BRA Load Pricing Results'!H52+'BRA Load Pricing Results'!H53</f>
        <v>903.5233148759044</v>
      </c>
      <c r="E6" s="304">
        <f>B6-C6-D6-27.9</f>
        <v>3461.3838623682864</v>
      </c>
      <c r="F6" s="57">
        <f>'BRA Resource Clearing Results'!B57</f>
        <v>0</v>
      </c>
      <c r="G6" s="57">
        <f t="shared" si="0"/>
        <v>3461.3838623682864</v>
      </c>
      <c r="H6" s="57">
        <v>0</v>
      </c>
      <c r="I6" s="57">
        <f>'BRA ICTRs'!C11+'BRA ICTRs'!C16</f>
        <v>898</v>
      </c>
      <c r="J6" s="245">
        <f t="shared" si="1"/>
        <v>2563.3838623682864</v>
      </c>
      <c r="K6" s="140"/>
      <c r="N6" s="9" t="s">
        <v>24</v>
      </c>
    </row>
    <row r="7" spans="1:14" ht="12.75">
      <c r="A7" s="243" t="s">
        <v>5</v>
      </c>
      <c r="B7" s="143">
        <f>'BRA Load Pricing Results'!B18</f>
        <v>15919.133978282032</v>
      </c>
      <c r="C7" s="143">
        <f>'BRA Resource Clearing Results'!E21</f>
        <v>10999.8</v>
      </c>
      <c r="D7" s="57">
        <f>'BRA Load Pricing Results'!H39+'BRA Load Pricing Results'!H50</f>
        <v>384.164365987889</v>
      </c>
      <c r="E7" s="304">
        <f>B7-C7-D7</f>
        <v>4535.169612294144</v>
      </c>
      <c r="F7" s="57">
        <f>'BRA Resource Clearing Results'!B58</f>
        <v>0</v>
      </c>
      <c r="G7" s="57">
        <f t="shared" si="0"/>
        <v>4535.169612294144</v>
      </c>
      <c r="H7" s="57">
        <v>0</v>
      </c>
      <c r="I7" s="57">
        <f>('BRA ICTRs'!D11+'BRA ICTRs'!D16)</f>
        <v>237</v>
      </c>
      <c r="J7" s="245">
        <f t="shared" si="1"/>
        <v>4298.169612294144</v>
      </c>
      <c r="K7" s="140"/>
      <c r="N7" s="9"/>
    </row>
    <row r="8" spans="1:14" ht="12.75">
      <c r="A8" s="243" t="s">
        <v>48</v>
      </c>
      <c r="B8" s="143">
        <f>'BRA Load Pricing Results'!K52</f>
        <v>11951.443670784276</v>
      </c>
      <c r="C8" s="143">
        <f>'BRA Load Pricing Results'!C27</f>
        <v>6729.799999999999</v>
      </c>
      <c r="D8" s="57">
        <f>'BRA Load Pricing Results'!H52</f>
        <v>288.41511018693615</v>
      </c>
      <c r="E8" s="304">
        <f>B8-C8-D8-2.9</f>
        <v>4930.328560597341</v>
      </c>
      <c r="F8" s="57">
        <f>IF('BRA Resource Clearing Results'!D59+'BRA Resource Clearing Results'!D60=0,0,('BRA Resource Clearing Results'!D59+'BRA Resource Clearing Results'!D60)/'BRA Load Pricing Results'!D27)</f>
        <v>0</v>
      </c>
      <c r="G8" s="57">
        <f t="shared" si="0"/>
        <v>4930.328560597341</v>
      </c>
      <c r="H8" s="57">
        <v>0</v>
      </c>
      <c r="I8" s="63">
        <f>'BRA ICTRs'!E21+'BRA ICTRs'!F21</f>
        <v>1099.4</v>
      </c>
      <c r="J8" s="245">
        <f t="shared" si="1"/>
        <v>3830.9285605973405</v>
      </c>
      <c r="K8" s="140"/>
      <c r="N8" s="9"/>
    </row>
    <row r="9" spans="1:14" ht="12.75">
      <c r="A9" s="243" t="s">
        <v>46</v>
      </c>
      <c r="B9" s="143">
        <f>'BRA Load Pricing Results'!K45</f>
        <v>4696.656374766977</v>
      </c>
      <c r="C9" s="143">
        <f>'BRA Load Pricing Results'!C30</f>
        <v>4836.2</v>
      </c>
      <c r="D9" s="57">
        <f>'BRA Load Pricing Results'!H45</f>
        <v>113.34084008193321</v>
      </c>
      <c r="E9" s="304">
        <f>IF(B9-C9-D9&lt;0,0,B9-C9-D9)</f>
        <v>0</v>
      </c>
      <c r="F9" s="57">
        <f>IF('BRA Resource Clearing Results'!D61=0,0,('BRA Resource Clearing Results'!D61/'BRA Load Pricing Results'!D30))</f>
        <v>0</v>
      </c>
      <c r="G9" s="57">
        <f t="shared" si="0"/>
        <v>0</v>
      </c>
      <c r="H9" s="57">
        <v>0</v>
      </c>
      <c r="I9" s="57">
        <v>0</v>
      </c>
      <c r="J9" s="244">
        <f t="shared" si="1"/>
        <v>0</v>
      </c>
      <c r="K9" s="140"/>
      <c r="N9" s="9"/>
    </row>
    <row r="10" spans="1:14" ht="12.75">
      <c r="A10" s="243" t="s">
        <v>15</v>
      </c>
      <c r="B10" s="143">
        <f>'BRA Load Pricing Results'!B19</f>
        <v>7709.26614042589</v>
      </c>
      <c r="C10" s="143">
        <f>'BRA Resource Clearing Results'!E25</f>
        <v>6135.7</v>
      </c>
      <c r="D10" s="57">
        <f>'BRA Load Pricing Results'!H50</f>
        <v>186.04186277400916</v>
      </c>
      <c r="E10" s="304">
        <f>B10-C10-D10</f>
        <v>1387.5242776518808</v>
      </c>
      <c r="F10" s="57">
        <f>'BRA Resource Clearing Results'!B62</f>
        <v>0</v>
      </c>
      <c r="G10" s="57">
        <f t="shared" si="0"/>
        <v>1387.5242776518808</v>
      </c>
      <c r="H10" s="57">
        <v>0</v>
      </c>
      <c r="I10" s="57">
        <v>0</v>
      </c>
      <c r="J10" s="245">
        <f t="shared" si="1"/>
        <v>1387.5242776518808</v>
      </c>
      <c r="K10" s="140"/>
      <c r="N10" s="9"/>
    </row>
    <row r="11" spans="1:14" ht="13.5" thickBot="1">
      <c r="A11" s="246" t="s">
        <v>51</v>
      </c>
      <c r="B11" s="247">
        <f>'BRA Load Pricing Results'!B20</f>
        <v>14940.429536115023</v>
      </c>
      <c r="C11" s="247">
        <f>'BRA Resource Clearing Results'!E26</f>
        <v>10667.6</v>
      </c>
      <c r="D11" s="114">
        <f>'BRA Load Pricing Results'!H38</f>
        <v>360.54603524027664</v>
      </c>
      <c r="E11" s="305">
        <f>B11-C11-D11-36.3</f>
        <v>3875.9835008747464</v>
      </c>
      <c r="F11" s="114">
        <f>'BRA Resource Clearing Results'!B63</f>
        <v>0</v>
      </c>
      <c r="G11" s="114">
        <f t="shared" si="0"/>
        <v>3875.9835008747464</v>
      </c>
      <c r="H11" s="114">
        <v>0</v>
      </c>
      <c r="I11" s="114">
        <v>0</v>
      </c>
      <c r="J11" s="248">
        <f t="shared" si="1"/>
        <v>3875.9835008747464</v>
      </c>
      <c r="K11" s="140"/>
      <c r="N11" s="9"/>
    </row>
    <row r="12" spans="1:14" ht="12.75">
      <c r="A12" s="32" t="s">
        <v>24</v>
      </c>
      <c r="B12" s="41"/>
      <c r="C12" s="41"/>
      <c r="D12" s="18"/>
      <c r="E12" s="10" t="s">
        <v>150</v>
      </c>
      <c r="F12" s="18"/>
      <c r="G12" s="26"/>
      <c r="H12" s="20"/>
      <c r="I12" s="26"/>
      <c r="J12" s="25"/>
      <c r="K12" s="56"/>
      <c r="N12" s="9"/>
    </row>
    <row r="13" spans="1:14" ht="12.75" customHeight="1" thickBot="1">
      <c r="A13" s="32"/>
      <c r="B13" s="41"/>
      <c r="C13" s="41"/>
      <c r="D13" s="18"/>
      <c r="E13" s="200"/>
      <c r="F13" s="18"/>
      <c r="G13" s="26"/>
      <c r="H13" s="20"/>
      <c r="I13" s="26"/>
      <c r="J13" s="25"/>
      <c r="K13" s="56"/>
      <c r="N13" s="9"/>
    </row>
    <row r="14" spans="1:19" ht="15" customHeight="1" thickBot="1">
      <c r="A14" s="667" t="s">
        <v>122</v>
      </c>
      <c r="B14" s="668"/>
      <c r="C14" s="668"/>
      <c r="D14" s="669"/>
      <c r="E14" s="5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ht="15">
      <c r="A15" s="670"/>
      <c r="B15" s="671"/>
      <c r="C15" s="671"/>
      <c r="D15" s="672"/>
      <c r="E15" s="665" t="s">
        <v>30</v>
      </c>
      <c r="F15" s="666"/>
      <c r="G15" s="665" t="s">
        <v>41</v>
      </c>
      <c r="H15" s="666"/>
      <c r="I15" s="665" t="s">
        <v>5</v>
      </c>
      <c r="J15" s="666"/>
      <c r="K15" s="665" t="s">
        <v>48</v>
      </c>
      <c r="L15" s="666"/>
      <c r="M15" s="665" t="s">
        <v>46</v>
      </c>
      <c r="N15" s="666"/>
      <c r="O15" s="665" t="s">
        <v>15</v>
      </c>
      <c r="P15" s="666"/>
      <c r="Q15" s="665" t="s">
        <v>51</v>
      </c>
      <c r="R15" s="666"/>
      <c r="S15" s="22"/>
      <c r="T15" s="22"/>
      <c r="U15" s="22"/>
    </row>
    <row r="16" spans="1:22" ht="30.75" customHeight="1" thickBot="1">
      <c r="A16" s="673"/>
      <c r="B16" s="674"/>
      <c r="C16" s="674"/>
      <c r="D16" s="675"/>
      <c r="E16" s="249" t="s">
        <v>49</v>
      </c>
      <c r="F16" s="250">
        <f>'BRA Resource Clearing Results'!C6</f>
        <v>31.46</v>
      </c>
      <c r="G16" s="249" t="s">
        <v>49</v>
      </c>
      <c r="H16" s="250">
        <f>'BRA Resource Clearing Results'!C7</f>
        <v>0</v>
      </c>
      <c r="I16" s="249" t="s">
        <v>49</v>
      </c>
      <c r="J16" s="251">
        <f>'BRA Resource Clearing Results'!C8</f>
        <v>0</v>
      </c>
      <c r="K16" s="249" t="s">
        <v>49</v>
      </c>
      <c r="L16" s="250">
        <f>'BRA Load Pricing Results'!D27</f>
        <v>0</v>
      </c>
      <c r="M16" s="249" t="s">
        <v>49</v>
      </c>
      <c r="N16" s="252">
        <f>'BRA Load Pricing Results'!D30</f>
        <v>0</v>
      </c>
      <c r="O16" s="249" t="s">
        <v>49</v>
      </c>
      <c r="P16" s="252">
        <f>'BRA Resource Clearing Results'!C12</f>
        <v>0</v>
      </c>
      <c r="Q16" s="249" t="s">
        <v>49</v>
      </c>
      <c r="R16" s="252">
        <f>'BRA Resource Clearing Results'!C13</f>
        <v>186.08</v>
      </c>
      <c r="S16" s="22"/>
      <c r="T16" s="22"/>
      <c r="U16" s="22"/>
      <c r="V16" s="19"/>
    </row>
    <row r="17" spans="1:23" ht="111.75" customHeight="1">
      <c r="A17" s="253" t="s">
        <v>7</v>
      </c>
      <c r="B17" s="87" t="s">
        <v>28</v>
      </c>
      <c r="C17" s="87" t="s">
        <v>27</v>
      </c>
      <c r="D17" s="254" t="s">
        <v>36</v>
      </c>
      <c r="E17" s="86" t="s">
        <v>106</v>
      </c>
      <c r="F17" s="254" t="s">
        <v>123</v>
      </c>
      <c r="G17" s="86" t="s">
        <v>107</v>
      </c>
      <c r="H17" s="254" t="s">
        <v>123</v>
      </c>
      <c r="I17" s="86" t="s">
        <v>106</v>
      </c>
      <c r="J17" s="254" t="s">
        <v>123</v>
      </c>
      <c r="K17" s="86" t="s">
        <v>108</v>
      </c>
      <c r="L17" s="254" t="s">
        <v>123</v>
      </c>
      <c r="M17" s="86" t="s">
        <v>109</v>
      </c>
      <c r="N17" s="254" t="s">
        <v>123</v>
      </c>
      <c r="O17" s="86" t="s">
        <v>106</v>
      </c>
      <c r="P17" s="254" t="s">
        <v>123</v>
      </c>
      <c r="Q17" s="86" t="s">
        <v>106</v>
      </c>
      <c r="R17" s="254" t="s">
        <v>123</v>
      </c>
      <c r="S17" s="86" t="s">
        <v>118</v>
      </c>
      <c r="T17" s="87" t="s">
        <v>124</v>
      </c>
      <c r="U17" s="87" t="s">
        <v>59</v>
      </c>
      <c r="V17" s="254" t="s">
        <v>119</v>
      </c>
      <c r="W17" s="17"/>
    </row>
    <row r="18" spans="1:23" ht="12.75">
      <c r="A18" s="133" t="s">
        <v>16</v>
      </c>
      <c r="B18" s="85" t="s">
        <v>30</v>
      </c>
      <c r="C18" s="85" t="s">
        <v>41</v>
      </c>
      <c r="D18" s="255"/>
      <c r="E18" s="257">
        <f>IF(B18="MAAC",$J$5*'BRA Load Pricing Results'!K35/'BRA Load Pricing Results'!$B$16,0)</f>
        <v>29.534277329095453</v>
      </c>
      <c r="F18" s="258">
        <f>E18*$F$16</f>
        <v>929.148364773343</v>
      </c>
      <c r="G18" s="257">
        <f>IF(C18="EMAAC",$J$6*'BRA Load Pricing Results'!K35/'BRA Load Pricing Results'!$B$17,0)</f>
        <v>210.6500469796665</v>
      </c>
      <c r="H18" s="258">
        <f>G18*$H$16</f>
        <v>0</v>
      </c>
      <c r="I18" s="257">
        <f>IF(C18="SWMAAC",$J$7*'BRA Load Pricing Results'!K35/'BRA Load Pricing Results'!$B$18,0)</f>
        <v>0</v>
      </c>
      <c r="J18" s="258">
        <f>I18*$J$16</f>
        <v>0</v>
      </c>
      <c r="K18" s="257">
        <f>IF(D18="PS",$J$8*'BRA Load Pricing Results'!K35/'BRA Load Pricing Results'!$K$52,0)</f>
        <v>0</v>
      </c>
      <c r="L18" s="258">
        <f>K18*$L$16</f>
        <v>0</v>
      </c>
      <c r="M18" s="257">
        <f>IF(D18="DPL",$J$9*'BRA Load Pricing Results'!K35/'BRA Load Pricing Results'!$K$45,0)</f>
        <v>0</v>
      </c>
      <c r="N18" s="258">
        <f>M18*$N$16</f>
        <v>0</v>
      </c>
      <c r="O18" s="257">
        <f>IF(D18="PEPCO",$J$10*'BRA Load Pricing Results'!K35/'BRA Load Pricing Results'!$K$50,0)</f>
        <v>0</v>
      </c>
      <c r="P18" s="258">
        <f>O18*$P$16</f>
        <v>0</v>
      </c>
      <c r="Q18" s="257">
        <f>IF(D18="ATSI",$J$11*'BRA Load Pricing Results'!K35/'BRA Load Pricing Results'!$K$38,0)</f>
        <v>0</v>
      </c>
      <c r="R18" s="258">
        <f>Q18*$R$16</f>
        <v>0</v>
      </c>
      <c r="S18" s="260">
        <f>MAX(E18,G18,I18,K18,M18,O18,Q18)</f>
        <v>210.6500469796665</v>
      </c>
      <c r="T18" s="60">
        <f aca="true" t="shared" si="2" ref="T18:T29">F18+H18+J18+L18+N18+P18+R18</f>
        <v>929.148364773343</v>
      </c>
      <c r="U18" s="60">
        <f>T18/'BRA Load Pricing Results'!K35</f>
        <v>0.30199199376458724</v>
      </c>
      <c r="V18" s="261">
        <f>IF(S18=0,0,T18/S18)</f>
        <v>4.410862366733919</v>
      </c>
      <c r="W18" s="15"/>
    </row>
    <row r="19" spans="1:23" ht="12.75">
      <c r="A19" s="133" t="s">
        <v>32</v>
      </c>
      <c r="B19" s="85"/>
      <c r="C19" s="85"/>
      <c r="D19" s="255"/>
      <c r="E19" s="257">
        <f>IF(B19="MAAC",$J$5*'BRA Load Pricing Results'!K36/'BRA Load Pricing Results'!$B$16,0)</f>
        <v>0</v>
      </c>
      <c r="F19" s="258">
        <f aca="true" t="shared" si="3" ref="F19:F27">E19*$F$16</f>
        <v>0</v>
      </c>
      <c r="G19" s="257">
        <f>IF(C19="EMAAC",$J$6*'BRA Load Pricing Results'!K36/'BRA Load Pricing Results'!$B$17,0)</f>
        <v>0</v>
      </c>
      <c r="H19" s="258">
        <f>G19*$H$16</f>
        <v>0</v>
      </c>
      <c r="I19" s="257">
        <f>IF(C19="SWMAAC",$J$7*'BRA Load Pricing Results'!K36/'BRA Load Pricing Results'!$B$18,0)</f>
        <v>0</v>
      </c>
      <c r="J19" s="258">
        <f>I19*$J$16</f>
        <v>0</v>
      </c>
      <c r="K19" s="257">
        <f>IF(D19="PS",$J$8*'BRA Load Pricing Results'!K36/'BRA Load Pricing Results'!$K$52,0)</f>
        <v>0</v>
      </c>
      <c r="L19" s="258">
        <f>K19*$L$16</f>
        <v>0</v>
      </c>
      <c r="M19" s="257">
        <f>IF(D19="DPL",$J$9*'BRA Load Pricing Results'!K36/'BRA Load Pricing Results'!$K$45,0)</f>
        <v>0</v>
      </c>
      <c r="N19" s="258">
        <f aca="true" t="shared" si="4" ref="N19:N32">M19*$N$16</f>
        <v>0</v>
      </c>
      <c r="O19" s="257">
        <f>IF(D19="PEPCO",$J$10*'BRA Load Pricing Results'!K36/'BRA Load Pricing Results'!$K$50,0)</f>
        <v>0</v>
      </c>
      <c r="P19" s="258">
        <f>O19*$P$16</f>
        <v>0</v>
      </c>
      <c r="Q19" s="257">
        <f>IF(D19="ATSI",$J$11*'BRA Load Pricing Results'!K36/'BRA Load Pricing Results'!$K$38,0)</f>
        <v>0</v>
      </c>
      <c r="R19" s="258">
        <f aca="true" t="shared" si="5" ref="R19:R36">Q19*$R$16</f>
        <v>0</v>
      </c>
      <c r="S19" s="260">
        <f aca="true" t="shared" si="6" ref="S19:S36">MAX(E19,G19,I19,K19,M19,O19,Q19)</f>
        <v>0</v>
      </c>
      <c r="T19" s="60">
        <f t="shared" si="2"/>
        <v>0</v>
      </c>
      <c r="U19" s="60">
        <f>T19/'BRA Load Pricing Results'!K36</f>
        <v>0</v>
      </c>
      <c r="V19" s="261">
        <f aca="true" t="shared" si="7" ref="V19:V36">IF(S19=0,0,T19/S19)</f>
        <v>0</v>
      </c>
      <c r="W19" s="15"/>
    </row>
    <row r="20" spans="1:23" ht="12.75">
      <c r="A20" s="133" t="s">
        <v>19</v>
      </c>
      <c r="B20" s="85" t="s">
        <v>24</v>
      </c>
      <c r="C20" s="85"/>
      <c r="D20" s="255"/>
      <c r="E20" s="257">
        <f>IF(B20="MAAC",$J$5*'BRA Load Pricing Results'!K37/'BRA Load Pricing Results'!$B$16,0)</f>
        <v>0</v>
      </c>
      <c r="F20" s="258">
        <f t="shared" si="3"/>
        <v>0</v>
      </c>
      <c r="G20" s="257">
        <f>IF(C20="EMAAC",$J$6*'BRA Load Pricing Results'!K37/'BRA Load Pricing Results'!$B$17,0)</f>
        <v>0</v>
      </c>
      <c r="H20" s="258">
        <f>G20*$H$16</f>
        <v>0</v>
      </c>
      <c r="I20" s="257">
        <f>IF(C20="SWMAAC",$J$7*'BRA Load Pricing Results'!K37/'BRA Load Pricing Results'!$B$18,0)</f>
        <v>0</v>
      </c>
      <c r="J20" s="258">
        <f aca="true" t="shared" si="8" ref="J20:J36">I20*$J$16</f>
        <v>0</v>
      </c>
      <c r="K20" s="257">
        <f>IF(D20="PS",$J$8*'BRA Load Pricing Results'!K37/'BRA Load Pricing Results'!$K$52,0)</f>
        <v>0</v>
      </c>
      <c r="L20" s="258">
        <f>K20*$L$16</f>
        <v>0</v>
      </c>
      <c r="M20" s="257">
        <f>IF(D20="DPL",$J$9*'BRA Load Pricing Results'!K37/'BRA Load Pricing Results'!$K$45,0)</f>
        <v>0</v>
      </c>
      <c r="N20" s="258">
        <f t="shared" si="4"/>
        <v>0</v>
      </c>
      <c r="O20" s="257">
        <f>IF(D20="PEPCO",$J$10*'BRA Load Pricing Results'!K37/'BRA Load Pricing Results'!$K$50,0)</f>
        <v>0</v>
      </c>
      <c r="P20" s="258">
        <f>O20*$P$16</f>
        <v>0</v>
      </c>
      <c r="Q20" s="257">
        <f>IF(D20="ATSI",$J$11*'BRA Load Pricing Results'!K37/'BRA Load Pricing Results'!$K$38,0)</f>
        <v>0</v>
      </c>
      <c r="R20" s="258">
        <f t="shared" si="5"/>
        <v>0</v>
      </c>
      <c r="S20" s="260">
        <f t="shared" si="6"/>
        <v>0</v>
      </c>
      <c r="T20" s="60">
        <f t="shared" si="2"/>
        <v>0</v>
      </c>
      <c r="U20" s="60">
        <f>T20/'BRA Load Pricing Results'!K37</f>
        <v>0</v>
      </c>
      <c r="V20" s="261">
        <f t="shared" si="7"/>
        <v>0</v>
      </c>
      <c r="W20" s="15"/>
    </row>
    <row r="21" spans="1:23" ht="12.75">
      <c r="A21" s="133" t="s">
        <v>51</v>
      </c>
      <c r="B21" s="85"/>
      <c r="C21" s="85"/>
      <c r="D21" s="255" t="s">
        <v>51</v>
      </c>
      <c r="E21" s="257">
        <f>IF(B21="MAAC",$J$5*'BRA Load Pricing Results'!K38/'BRA Load Pricing Results'!$B$16,0)</f>
        <v>0</v>
      </c>
      <c r="F21" s="258">
        <f t="shared" si="3"/>
        <v>0</v>
      </c>
      <c r="G21" s="257">
        <f>IF(C21="EMAAC",$J$6*'BRA Load Pricing Results'!K38/'BRA Load Pricing Results'!$B$17,0)</f>
        <v>0</v>
      </c>
      <c r="H21" s="258">
        <f>G21*$H$16</f>
        <v>0</v>
      </c>
      <c r="I21" s="257">
        <f>IF(C21="SWMAAC",$J$7*'BRA Load Pricing Results'!K38/'BRA Load Pricing Results'!$B$18,0)</f>
        <v>0</v>
      </c>
      <c r="J21" s="258">
        <f t="shared" si="8"/>
        <v>0</v>
      </c>
      <c r="K21" s="257">
        <f>IF(D21="PS",$J$8*'BRA Load Pricing Results'!K38/'BRA Load Pricing Results'!$K$52,0)</f>
        <v>0</v>
      </c>
      <c r="L21" s="258">
        <f aca="true" t="shared" si="9" ref="L21:L36">K21*$L$16</f>
        <v>0</v>
      </c>
      <c r="M21" s="257">
        <f>IF(D21="DPL",$J$9*'BRA Load Pricing Results'!K38/'BRA Load Pricing Results'!$K$45,0)</f>
        <v>0</v>
      </c>
      <c r="N21" s="258">
        <f t="shared" si="4"/>
        <v>0</v>
      </c>
      <c r="O21" s="257">
        <f>IF(D21="PEPCO",$J$10*'BRA Load Pricing Results'!K38/'BRA Load Pricing Results'!$K$50,0)</f>
        <v>0</v>
      </c>
      <c r="P21" s="258">
        <f aca="true" t="shared" si="10" ref="P21:P32">O21*$P$16</f>
        <v>0</v>
      </c>
      <c r="Q21" s="257">
        <f>IF(D21="ATSI",$J$11*'BRA Load Pricing Results'!K38/'BRA Load Pricing Results'!$K$38,0)</f>
        <v>3875.9835008747464</v>
      </c>
      <c r="R21" s="258">
        <f>Q21*$R$16</f>
        <v>721243.0098427729</v>
      </c>
      <c r="S21" s="260">
        <f t="shared" si="6"/>
        <v>3875.9835008747464</v>
      </c>
      <c r="T21" s="60">
        <f t="shared" si="2"/>
        <v>721243.0098427729</v>
      </c>
      <c r="U21" s="60">
        <f>T21/'BRA Load Pricing Results'!K38</f>
        <v>48.274583277497825</v>
      </c>
      <c r="V21" s="261">
        <f t="shared" si="7"/>
        <v>186.08</v>
      </c>
      <c r="W21" s="15"/>
    </row>
    <row r="22" spans="1:23" ht="12.75">
      <c r="A22" s="133" t="s">
        <v>11</v>
      </c>
      <c r="B22" s="85" t="s">
        <v>30</v>
      </c>
      <c r="C22" s="85" t="s">
        <v>5</v>
      </c>
      <c r="D22" s="255"/>
      <c r="E22" s="257">
        <f>IF(B22="MAAC",$J$5*'BRA Load Pricing Results'!K39/'BRA Load Pricing Results'!$B$16,0)</f>
        <v>78.80846652568142</v>
      </c>
      <c r="F22" s="258">
        <f>E22*$F$16</f>
        <v>2479.3143568979376</v>
      </c>
      <c r="G22" s="257">
        <f>IF(C22="EMAAC",$J$6*'BRA Load Pricing Results'!K39/'BRA Load Pricing Results'!$B$17,0)</f>
        <v>0</v>
      </c>
      <c r="H22" s="258">
        <f aca="true" t="shared" si="11" ref="H22:H34">G22*$H$16</f>
        <v>0</v>
      </c>
      <c r="I22" s="257">
        <f>IF(C22="SWMAAC",$J$7*'BRA Load Pricing Results'!K39/'BRA Load Pricing Results'!$B$18,0)</f>
        <v>2216.6660893592443</v>
      </c>
      <c r="J22" s="258">
        <f>I22*$J$16</f>
        <v>0</v>
      </c>
      <c r="K22" s="257">
        <f>IF(D22="PS",$J$8*'BRA Load Pricing Results'!K39/'BRA Load Pricing Results'!$K$52,0)</f>
        <v>0</v>
      </c>
      <c r="L22" s="258">
        <f t="shared" si="9"/>
        <v>0</v>
      </c>
      <c r="M22" s="257">
        <f>IF(D22="DPL",$J$9*'BRA Load Pricing Results'!K39/'BRA Load Pricing Results'!$K$45,0)</f>
        <v>0</v>
      </c>
      <c r="N22" s="258">
        <f t="shared" si="4"/>
        <v>0</v>
      </c>
      <c r="O22" s="257">
        <f>IF(D22="PEPCO",$J$10*'BRA Load Pricing Results'!K39/'BRA Load Pricing Results'!$K$50,0)</f>
        <v>0</v>
      </c>
      <c r="P22" s="258">
        <f t="shared" si="10"/>
        <v>0</v>
      </c>
      <c r="Q22" s="257">
        <f>IF(D22="ATSI",$J$11*'BRA Load Pricing Results'!K39/'BRA Load Pricing Results'!$K$38,0)</f>
        <v>0</v>
      </c>
      <c r="R22" s="258">
        <f t="shared" si="5"/>
        <v>0</v>
      </c>
      <c r="S22" s="260">
        <f t="shared" si="6"/>
        <v>2216.6660893592443</v>
      </c>
      <c r="T22" s="60">
        <f t="shared" si="2"/>
        <v>2479.3143568979376</v>
      </c>
      <c r="U22" s="60">
        <f>T22/'BRA Load Pricing Results'!K39</f>
        <v>0.30199199376458724</v>
      </c>
      <c r="V22" s="261">
        <f>IF(S22=0,0,T22/S22)</f>
        <v>1.1184879711019602</v>
      </c>
      <c r="W22" s="15"/>
    </row>
    <row r="23" spans="1:23" ht="12.75">
      <c r="A23" s="133" t="s">
        <v>20</v>
      </c>
      <c r="B23" s="85"/>
      <c r="C23" s="85"/>
      <c r="D23" s="255"/>
      <c r="E23" s="257">
        <f>IF(B23="MAAC",$J$5*'BRA Load Pricing Results'!K40/'BRA Load Pricing Results'!$B$16,0)</f>
        <v>0</v>
      </c>
      <c r="F23" s="258">
        <f t="shared" si="3"/>
        <v>0</v>
      </c>
      <c r="G23" s="257">
        <f>IF(C23="EMAAC",$J$6*'BRA Load Pricing Results'!K40/'BRA Load Pricing Results'!$B$17,0)</f>
        <v>0</v>
      </c>
      <c r="H23" s="258">
        <f t="shared" si="11"/>
        <v>0</v>
      </c>
      <c r="I23" s="257">
        <f>IF(C23="SWMAAC",$J$7*'BRA Load Pricing Results'!K40/'BRA Load Pricing Results'!$B$18,0)</f>
        <v>0</v>
      </c>
      <c r="J23" s="258">
        <f t="shared" si="8"/>
        <v>0</v>
      </c>
      <c r="K23" s="257">
        <f>IF(D23="PS",$J$8*'BRA Load Pricing Results'!K40/'BRA Load Pricing Results'!$K$52,0)</f>
        <v>0</v>
      </c>
      <c r="L23" s="258">
        <f t="shared" si="9"/>
        <v>0</v>
      </c>
      <c r="M23" s="257">
        <f>IF(D23="DPL",$J$9*'BRA Load Pricing Results'!K40/'BRA Load Pricing Results'!$K$45,0)</f>
        <v>0</v>
      </c>
      <c r="N23" s="258">
        <f t="shared" si="4"/>
        <v>0</v>
      </c>
      <c r="O23" s="257">
        <f>IF(D23="PEPCO",$J$10*'BRA Load Pricing Results'!K40/'BRA Load Pricing Results'!$K$50,0)</f>
        <v>0</v>
      </c>
      <c r="P23" s="258">
        <f t="shared" si="10"/>
        <v>0</v>
      </c>
      <c r="Q23" s="257">
        <f>IF(D23="ATSI",$J$11*'BRA Load Pricing Results'!K40/'BRA Load Pricing Results'!$K$38,0)</f>
        <v>0</v>
      </c>
      <c r="R23" s="258">
        <f t="shared" si="5"/>
        <v>0</v>
      </c>
      <c r="S23" s="260">
        <f t="shared" si="6"/>
        <v>0</v>
      </c>
      <c r="T23" s="60">
        <f t="shared" si="2"/>
        <v>0</v>
      </c>
      <c r="U23" s="60">
        <f>T23/'BRA Load Pricing Results'!K40</f>
        <v>0</v>
      </c>
      <c r="V23" s="261">
        <f t="shared" si="7"/>
        <v>0</v>
      </c>
      <c r="W23" s="15"/>
    </row>
    <row r="24" spans="1:23" ht="12.75">
      <c r="A24" s="133" t="s">
        <v>21</v>
      </c>
      <c r="B24" s="85"/>
      <c r="C24" s="85"/>
      <c r="D24" s="255"/>
      <c r="E24" s="257">
        <f>IF(B24="MAAC",$J$5*'BRA Load Pricing Results'!K41/'BRA Load Pricing Results'!$B$16,0)</f>
        <v>0</v>
      </c>
      <c r="F24" s="258">
        <f t="shared" si="3"/>
        <v>0</v>
      </c>
      <c r="G24" s="257">
        <f>IF(C24="EMAAC",$J$6*'BRA Load Pricing Results'!K41/'BRA Load Pricing Results'!$B$17,0)</f>
        <v>0</v>
      </c>
      <c r="H24" s="258">
        <f>G24*$H$16</f>
        <v>0</v>
      </c>
      <c r="I24" s="257">
        <f>IF(C24="SWMAAC",$J$7*'BRA Load Pricing Results'!K41/'BRA Load Pricing Results'!$B$18,0)</f>
        <v>0</v>
      </c>
      <c r="J24" s="258">
        <f>I24*$J$16</f>
        <v>0</v>
      </c>
      <c r="K24" s="257">
        <f>IF(D24="PS",$J$8*'BRA Load Pricing Results'!K41/'BRA Load Pricing Results'!$K$52,0)</f>
        <v>0</v>
      </c>
      <c r="L24" s="258">
        <f t="shared" si="9"/>
        <v>0</v>
      </c>
      <c r="M24" s="257">
        <f>IF(D24="DPL",$J$9*'BRA Load Pricing Results'!K41/'BRA Load Pricing Results'!$K$45,0)</f>
        <v>0</v>
      </c>
      <c r="N24" s="258">
        <f t="shared" si="4"/>
        <v>0</v>
      </c>
      <c r="O24" s="257">
        <f>IF(D24="PEPCO",$J$10*'BRA Load Pricing Results'!K41/'BRA Load Pricing Results'!$K$50,0)</f>
        <v>0</v>
      </c>
      <c r="P24" s="258">
        <f t="shared" si="10"/>
        <v>0</v>
      </c>
      <c r="Q24" s="257">
        <f>IF(D24="ATSI",$J$11*'BRA Load Pricing Results'!K41/'BRA Load Pricing Results'!$K$38,0)</f>
        <v>0</v>
      </c>
      <c r="R24" s="258">
        <f t="shared" si="5"/>
        <v>0</v>
      </c>
      <c r="S24" s="260">
        <f t="shared" si="6"/>
        <v>0</v>
      </c>
      <c r="T24" s="60">
        <f t="shared" si="2"/>
        <v>0</v>
      </c>
      <c r="U24" s="60">
        <f>T24/'BRA Load Pricing Results'!K41</f>
        <v>0</v>
      </c>
      <c r="V24" s="261">
        <f t="shared" si="7"/>
        <v>0</v>
      </c>
      <c r="W24" s="15"/>
    </row>
    <row r="25" spans="1:23" ht="12.75">
      <c r="A25" s="133" t="s">
        <v>66</v>
      </c>
      <c r="B25" s="85"/>
      <c r="C25" s="85"/>
      <c r="D25" s="255"/>
      <c r="E25" s="257">
        <f>IF(B25="MAAC",$J$5*'BRA Load Pricing Results'!K42/'BRA Load Pricing Results'!$B$16,0)</f>
        <v>0</v>
      </c>
      <c r="F25" s="258">
        <f t="shared" si="3"/>
        <v>0</v>
      </c>
      <c r="G25" s="257">
        <f>IF(C25="EMAAC",$J$6*'BRA Load Pricing Results'!K42/'BRA Load Pricing Results'!$B$17,0)</f>
        <v>0</v>
      </c>
      <c r="H25" s="258">
        <f>G25*$H$16</f>
        <v>0</v>
      </c>
      <c r="I25" s="257">
        <f>IF(C25="SWMAAC",$J$7*'BRA Load Pricing Results'!K42/'BRA Load Pricing Results'!$B$18,0)</f>
        <v>0</v>
      </c>
      <c r="J25" s="258">
        <f>I25*$J$16</f>
        <v>0</v>
      </c>
      <c r="K25" s="257">
        <f>IF(D25="PS",$J$8*'BRA Load Pricing Results'!K42/'BRA Load Pricing Results'!$K$52,0)</f>
        <v>0</v>
      </c>
      <c r="L25" s="258">
        <f>K25*$L$16</f>
        <v>0</v>
      </c>
      <c r="M25" s="257">
        <f>IF(D25="DPL",$J$9*'BRA Load Pricing Results'!K42/'BRA Load Pricing Results'!$K$45,0)</f>
        <v>0</v>
      </c>
      <c r="N25" s="258">
        <f>M25*$N$16</f>
        <v>0</v>
      </c>
      <c r="O25" s="257">
        <f>IF(D25="PEPCO",$J$10*'BRA Load Pricing Results'!K42/'BRA Load Pricing Results'!$K$50,0)</f>
        <v>0</v>
      </c>
      <c r="P25" s="258">
        <f>O25*$P$16</f>
        <v>0</v>
      </c>
      <c r="Q25" s="257">
        <f>IF(D25="ATSI",$J$11*'BRA Load Pricing Results'!K42/'BRA Load Pricing Results'!$K$38,0)</f>
        <v>0</v>
      </c>
      <c r="R25" s="258">
        <f t="shared" si="5"/>
        <v>0</v>
      </c>
      <c r="S25" s="260">
        <f t="shared" si="6"/>
        <v>0</v>
      </c>
      <c r="T25" s="60">
        <f t="shared" si="2"/>
        <v>0</v>
      </c>
      <c r="U25" s="60">
        <f>T25/'BRA Load Pricing Results'!K42</f>
        <v>0</v>
      </c>
      <c r="V25" s="261">
        <f t="shared" si="7"/>
        <v>0</v>
      </c>
      <c r="W25" s="15"/>
    </row>
    <row r="26" spans="1:23" ht="12.75">
      <c r="A26" s="133" t="s">
        <v>50</v>
      </c>
      <c r="B26" s="85"/>
      <c r="C26" s="85"/>
      <c r="D26" s="255"/>
      <c r="E26" s="257">
        <f>IF(B26="MAAC",$J$5*'BRA Load Pricing Results'!K43/'BRA Load Pricing Results'!$B$16,0)</f>
        <v>0</v>
      </c>
      <c r="F26" s="258">
        <f t="shared" si="3"/>
        <v>0</v>
      </c>
      <c r="G26" s="257">
        <f>IF(C26="EMAAC",$J$6*'BRA Load Pricing Results'!K43/'BRA Load Pricing Results'!$B$17,0)</f>
        <v>0</v>
      </c>
      <c r="H26" s="258">
        <f>G26*$H$16</f>
        <v>0</v>
      </c>
      <c r="I26" s="257">
        <f>IF(C26="SWMAAC",$J$7*'BRA Load Pricing Results'!K43/'BRA Load Pricing Results'!$B$18,0)</f>
        <v>0</v>
      </c>
      <c r="J26" s="258">
        <f>I26*$J$16</f>
        <v>0</v>
      </c>
      <c r="K26" s="257">
        <f>IF(D26="PS",$J$8*'BRA Load Pricing Results'!K43/'BRA Load Pricing Results'!$K$52,0)</f>
        <v>0</v>
      </c>
      <c r="L26" s="258">
        <f>K26*$L$16</f>
        <v>0</v>
      </c>
      <c r="M26" s="257">
        <f>IF(D26="DPL",$J$9*'BRA Load Pricing Results'!K43/'BRA Load Pricing Results'!$K$45,0)</f>
        <v>0</v>
      </c>
      <c r="N26" s="258">
        <f>M26*$N$16</f>
        <v>0</v>
      </c>
      <c r="O26" s="257">
        <f>IF(D26="PEPCO",$J$10*'BRA Load Pricing Results'!#REF!/'BRA Load Pricing Results'!$K$50,0)</f>
        <v>0</v>
      </c>
      <c r="P26" s="258">
        <f>O26*$P$16</f>
        <v>0</v>
      </c>
      <c r="Q26" s="257">
        <f>IF(D26="ATSI",$J$11*'BRA Load Pricing Results'!K43/'BRA Load Pricing Results'!$K$38,0)</f>
        <v>0</v>
      </c>
      <c r="R26" s="258">
        <f t="shared" si="5"/>
        <v>0</v>
      </c>
      <c r="S26" s="260">
        <f t="shared" si="6"/>
        <v>0</v>
      </c>
      <c r="T26" s="60">
        <f t="shared" si="2"/>
        <v>0</v>
      </c>
      <c r="U26" s="60">
        <f>T26/'BRA Load Pricing Results'!K43</f>
        <v>0</v>
      </c>
      <c r="V26" s="261">
        <f t="shared" si="7"/>
        <v>0</v>
      </c>
      <c r="W26" s="15"/>
    </row>
    <row r="27" spans="1:23" ht="12.75">
      <c r="A27" s="133" t="s">
        <v>33</v>
      </c>
      <c r="B27" s="85"/>
      <c r="C27" s="85"/>
      <c r="D27" s="255"/>
      <c r="E27" s="257">
        <f>IF(B27="MAAC",$J$5*'BRA Load Pricing Results'!K44/'BRA Load Pricing Results'!$B$16,0)</f>
        <v>0</v>
      </c>
      <c r="F27" s="258">
        <f t="shared" si="3"/>
        <v>0</v>
      </c>
      <c r="G27" s="257">
        <f>IF(C27="EMAAC",$J$6*'BRA Load Pricing Results'!K44/'BRA Load Pricing Results'!$B$17,0)</f>
        <v>0</v>
      </c>
      <c r="H27" s="258">
        <f t="shared" si="11"/>
        <v>0</v>
      </c>
      <c r="I27" s="257">
        <f>IF(C27="SWMAAC",$J$7*'BRA Load Pricing Results'!K44/'BRA Load Pricing Results'!$B$18,0)</f>
        <v>0</v>
      </c>
      <c r="J27" s="258">
        <f t="shared" si="8"/>
        <v>0</v>
      </c>
      <c r="K27" s="257">
        <f>IF(D27="PS",$J$8*'BRA Load Pricing Results'!K44/'BRA Load Pricing Results'!$K$52,0)</f>
        <v>0</v>
      </c>
      <c r="L27" s="258">
        <f t="shared" si="9"/>
        <v>0</v>
      </c>
      <c r="M27" s="257">
        <f>IF(D27="DPL",$J$9*'BRA Load Pricing Results'!K44/'BRA Load Pricing Results'!$K$45,0)</f>
        <v>0</v>
      </c>
      <c r="N27" s="258">
        <f t="shared" si="4"/>
        <v>0</v>
      </c>
      <c r="O27" s="257">
        <f>IF(D27="PEPCO",$J$10*'BRA Load Pricing Results'!K44/'BRA Load Pricing Results'!$K$50,0)</f>
        <v>0</v>
      </c>
      <c r="P27" s="258">
        <f t="shared" si="10"/>
        <v>0</v>
      </c>
      <c r="Q27" s="257">
        <f>IF(D27="ATSI",$J$11*'BRA Load Pricing Results'!K44/'BRA Load Pricing Results'!$K$38,0)</f>
        <v>0</v>
      </c>
      <c r="R27" s="258">
        <f t="shared" si="5"/>
        <v>0</v>
      </c>
      <c r="S27" s="260">
        <f t="shared" si="6"/>
        <v>0</v>
      </c>
      <c r="T27" s="60">
        <f t="shared" si="2"/>
        <v>0</v>
      </c>
      <c r="U27" s="60">
        <f>T27/'BRA Load Pricing Results'!K44</f>
        <v>0</v>
      </c>
      <c r="V27" s="261">
        <f t="shared" si="7"/>
        <v>0</v>
      </c>
      <c r="W27" s="15"/>
    </row>
    <row r="28" spans="1:23" ht="12.75">
      <c r="A28" s="133" t="s">
        <v>17</v>
      </c>
      <c r="B28" s="85" t="s">
        <v>30</v>
      </c>
      <c r="C28" s="85" t="s">
        <v>41</v>
      </c>
      <c r="D28" s="255" t="s">
        <v>17</v>
      </c>
      <c r="E28" s="257">
        <f>IF(B28="MAAC",$J$5*'BRA Load Pricing Results'!K45/'BRA Load Pricing Results'!$B$16,0)</f>
        <v>45.08431731223896</v>
      </c>
      <c r="F28" s="258">
        <f aca="true" t="shared" si="12" ref="F28:F36">E28*$F$16</f>
        <v>1418.3526226430376</v>
      </c>
      <c r="G28" s="257">
        <f>IF(C28="EMAAC",$J$6*'BRA Load Pricing Results'!K45/'BRA Load Pricing Results'!$B$17,0)</f>
        <v>321.55902966731554</v>
      </c>
      <c r="H28" s="258">
        <f>G28*$H$16</f>
        <v>0</v>
      </c>
      <c r="I28" s="257">
        <f>IF(C28="SWMAAC",$J$7*'BRA Load Pricing Results'!K45/'BRA Load Pricing Results'!$B$18,0)</f>
        <v>0</v>
      </c>
      <c r="J28" s="258">
        <f t="shared" si="8"/>
        <v>0</v>
      </c>
      <c r="K28" s="257">
        <f>IF(D28="PS",$J$8*'BRA Load Pricing Results'!K45/'BRA Load Pricing Results'!$K$52,0)</f>
        <v>0</v>
      </c>
      <c r="L28" s="258">
        <f t="shared" si="9"/>
        <v>0</v>
      </c>
      <c r="M28" s="257">
        <f>IF(D28="DPL",$J$9*'BRA Load Pricing Results'!K45/'BRA Load Pricing Results'!$K$45,0)</f>
        <v>0</v>
      </c>
      <c r="N28" s="258">
        <f t="shared" si="4"/>
        <v>0</v>
      </c>
      <c r="O28" s="257">
        <f>IF(D28="PEPCO",$J$10*'BRA Load Pricing Results'!K45/'BRA Load Pricing Results'!$K$50,0)</f>
        <v>0</v>
      </c>
      <c r="P28" s="258">
        <f t="shared" si="10"/>
        <v>0</v>
      </c>
      <c r="Q28" s="257">
        <f>IF(D28="ATSI",$J$11*'BRA Load Pricing Results'!K45/'BRA Load Pricing Results'!$K$38,0)</f>
        <v>0</v>
      </c>
      <c r="R28" s="258">
        <f t="shared" si="5"/>
        <v>0</v>
      </c>
      <c r="S28" s="260">
        <f t="shared" si="6"/>
        <v>321.55902966731554</v>
      </c>
      <c r="T28" s="60">
        <f t="shared" si="2"/>
        <v>1418.3526226430376</v>
      </c>
      <c r="U28" s="60">
        <f>T28/'BRA Load Pricing Results'!K45</f>
        <v>0.3019919937645872</v>
      </c>
      <c r="V28" s="261">
        <f t="shared" si="7"/>
        <v>4.410862366733919</v>
      </c>
      <c r="W28" s="15"/>
    </row>
    <row r="29" spans="1:23" ht="12.75">
      <c r="A29" s="133" t="s">
        <v>12</v>
      </c>
      <c r="B29" s="85" t="s">
        <v>30</v>
      </c>
      <c r="C29" s="85" t="s">
        <v>41</v>
      </c>
      <c r="D29" s="255"/>
      <c r="E29" s="257">
        <f>IF(B29="MAAC",$J$5*'BRA Load Pricing Results'!K46/'BRA Load Pricing Results'!$B$16,0)</f>
        <v>68.56055823123478</v>
      </c>
      <c r="F29" s="258">
        <f t="shared" si="12"/>
        <v>2156.915161954646</v>
      </c>
      <c r="G29" s="257">
        <f>IF(C29="EMAAC",$J$6*'BRA Load Pricing Results'!K46/'BRA Load Pricing Results'!$B$17,0)</f>
        <v>489.000785474919</v>
      </c>
      <c r="H29" s="258">
        <f>G29*$H$16</f>
        <v>0</v>
      </c>
      <c r="I29" s="257">
        <f>IF(C29="SWMAAC",$J$7*'BRA Load Pricing Results'!K46/'BRA Load Pricing Results'!$B$18,0)</f>
        <v>0</v>
      </c>
      <c r="J29" s="258">
        <f t="shared" si="8"/>
        <v>0</v>
      </c>
      <c r="K29" s="257">
        <f>IF(D29="PS",$J$8*'BRA Load Pricing Results'!K46/'BRA Load Pricing Results'!$K$52,0)</f>
        <v>0</v>
      </c>
      <c r="L29" s="258">
        <f t="shared" si="9"/>
        <v>0</v>
      </c>
      <c r="M29" s="257">
        <f>IF(D29="DPL",$J$9*'BRA Load Pricing Results'!K46/'BRA Load Pricing Results'!$K$45,0)</f>
        <v>0</v>
      </c>
      <c r="N29" s="258">
        <f t="shared" si="4"/>
        <v>0</v>
      </c>
      <c r="O29" s="257">
        <f>IF(D29="PEPCO",$J$10*'BRA Load Pricing Results'!K46/'BRA Load Pricing Results'!$K$50,0)</f>
        <v>0</v>
      </c>
      <c r="P29" s="258">
        <f t="shared" si="10"/>
        <v>0</v>
      </c>
      <c r="Q29" s="257">
        <f>IF(D29="ATSI",$J$11*'BRA Load Pricing Results'!K46/'BRA Load Pricing Results'!$K$38,0)</f>
        <v>0</v>
      </c>
      <c r="R29" s="258">
        <f t="shared" si="5"/>
        <v>0</v>
      </c>
      <c r="S29" s="260">
        <f t="shared" si="6"/>
        <v>489.000785474919</v>
      </c>
      <c r="T29" s="60">
        <f t="shared" si="2"/>
        <v>2156.915161954646</v>
      </c>
      <c r="U29" s="60">
        <f>T29/'BRA Load Pricing Results'!K46</f>
        <v>0.3019919937645872</v>
      </c>
      <c r="V29" s="261">
        <f t="shared" si="7"/>
        <v>4.410862366733918</v>
      </c>
      <c r="W29" s="15"/>
    </row>
    <row r="30" spans="1:23" ht="12.75">
      <c r="A30" s="133" t="s">
        <v>13</v>
      </c>
      <c r="B30" s="85" t="s">
        <v>30</v>
      </c>
      <c r="C30" s="85"/>
      <c r="D30" s="255"/>
      <c r="E30" s="257">
        <f>IF(B30="MAAC",$J$5*'BRA Load Pricing Results'!K47/'BRA Load Pricing Results'!$B$16,0)</f>
        <v>33.05463360305711</v>
      </c>
      <c r="F30" s="258">
        <f t="shared" si="12"/>
        <v>1039.8987731521768</v>
      </c>
      <c r="G30" s="257">
        <f>IF(C30="EMAAC",$J$6*'BRA Load Pricing Results'!K47/'BRA Load Pricing Results'!$B$17,0)</f>
        <v>0</v>
      </c>
      <c r="H30" s="258">
        <f t="shared" si="11"/>
        <v>0</v>
      </c>
      <c r="I30" s="257">
        <f>IF(C30="SWMAAC",$J$7*'BRA Load Pricing Results'!K47/'BRA Load Pricing Results'!$B$18,0)</f>
        <v>0</v>
      </c>
      <c r="J30" s="258">
        <f t="shared" si="8"/>
        <v>0</v>
      </c>
      <c r="K30" s="257">
        <f>IF(D30="PS",$J$8*'BRA Load Pricing Results'!K47/'BRA Load Pricing Results'!$K$52,0)</f>
        <v>0</v>
      </c>
      <c r="L30" s="258">
        <f t="shared" si="9"/>
        <v>0</v>
      </c>
      <c r="M30" s="257">
        <f>IF(D30="DPL",$J$9*'BRA Load Pricing Results'!K47/'BRA Load Pricing Results'!$K$45,0)</f>
        <v>0</v>
      </c>
      <c r="N30" s="258">
        <f t="shared" si="4"/>
        <v>0</v>
      </c>
      <c r="O30" s="257">
        <f>IF(D30="PEPCO",$J$10*'BRA Load Pricing Results'!K47/'BRA Load Pricing Results'!$K$50,0)</f>
        <v>0</v>
      </c>
      <c r="P30" s="258">
        <f t="shared" si="10"/>
        <v>0</v>
      </c>
      <c r="Q30" s="257">
        <f>IF(D30="ATSI",$J$11*'BRA Load Pricing Results'!K47/'BRA Load Pricing Results'!$K$38,0)</f>
        <v>0</v>
      </c>
      <c r="R30" s="258">
        <f t="shared" si="5"/>
        <v>0</v>
      </c>
      <c r="S30" s="260">
        <f t="shared" si="6"/>
        <v>33.05463360305711</v>
      </c>
      <c r="T30" s="60">
        <f aca="true" t="shared" si="13" ref="T30:T35">F30+H30+J30+L30+N30+P30+R30</f>
        <v>1039.8987731521768</v>
      </c>
      <c r="U30" s="60">
        <f>T30/'BRA Load Pricing Results'!K47</f>
        <v>0.30199199376458724</v>
      </c>
      <c r="V30" s="261">
        <f t="shared" si="7"/>
        <v>31.46</v>
      </c>
      <c r="W30" s="15"/>
    </row>
    <row r="31" spans="1:23" ht="12.75">
      <c r="A31" s="133" t="s">
        <v>9</v>
      </c>
      <c r="B31" s="85" t="s">
        <v>30</v>
      </c>
      <c r="C31" s="85" t="s">
        <v>41</v>
      </c>
      <c r="D31" s="255"/>
      <c r="E31" s="257">
        <f>IF(B31="MAAC",$J$5*'BRA Load Pricing Results'!K48/'BRA Load Pricing Results'!$B$16,0)</f>
        <v>96.93938120047167</v>
      </c>
      <c r="F31" s="258">
        <f t="shared" si="12"/>
        <v>3049.712932566839</v>
      </c>
      <c r="G31" s="257">
        <f>IF(C31="EMAAC",$J$6*'BRA Load Pricing Results'!K48/'BRA Load Pricing Results'!$B$17,0)</f>
        <v>691.4096788798784</v>
      </c>
      <c r="H31" s="258">
        <f>G31*$H$16</f>
        <v>0</v>
      </c>
      <c r="I31" s="257">
        <f>IF(C31="SWMAAC",$J$7*'BRA Load Pricing Results'!K48/'BRA Load Pricing Results'!$B$18,0)</f>
        <v>0</v>
      </c>
      <c r="J31" s="258">
        <f t="shared" si="8"/>
        <v>0</v>
      </c>
      <c r="K31" s="257">
        <f>IF(D31="PS",$J$8*'BRA Load Pricing Results'!K48/'BRA Load Pricing Results'!$K$52,0)</f>
        <v>0</v>
      </c>
      <c r="L31" s="258">
        <f t="shared" si="9"/>
        <v>0</v>
      </c>
      <c r="M31" s="257">
        <f>IF(D31="DPL",$J$9*'BRA Load Pricing Results'!K48/'BRA Load Pricing Results'!$K$45,0)</f>
        <v>0</v>
      </c>
      <c r="N31" s="258">
        <f t="shared" si="4"/>
        <v>0</v>
      </c>
      <c r="O31" s="257">
        <f>IF(D31="PEPCO",$J$10*'BRA Load Pricing Results'!K48/'BRA Load Pricing Results'!$K$50,0)</f>
        <v>0</v>
      </c>
      <c r="P31" s="258">
        <f t="shared" si="10"/>
        <v>0</v>
      </c>
      <c r="Q31" s="257">
        <f>IF(D31="ATSI",$J$11*'BRA Load Pricing Results'!K48/'BRA Load Pricing Results'!$K$38,0)</f>
        <v>0</v>
      </c>
      <c r="R31" s="258">
        <f t="shared" si="5"/>
        <v>0</v>
      </c>
      <c r="S31" s="260">
        <f t="shared" si="6"/>
        <v>691.4096788798784</v>
      </c>
      <c r="T31" s="60">
        <f t="shared" si="13"/>
        <v>3049.712932566839</v>
      </c>
      <c r="U31" s="60">
        <f>T31/'BRA Load Pricing Results'!K48</f>
        <v>0.30199199376458724</v>
      </c>
      <c r="V31" s="261">
        <f t="shared" si="7"/>
        <v>4.410862366733919</v>
      </c>
      <c r="W31" s="15"/>
    </row>
    <row r="32" spans="1:23" ht="12.75">
      <c r="A32" s="133" t="s">
        <v>14</v>
      </c>
      <c r="B32" s="85" t="s">
        <v>30</v>
      </c>
      <c r="C32" s="85"/>
      <c r="D32" s="255"/>
      <c r="E32" s="257">
        <f>IF(B32="MAAC",$J$5*'BRA Load Pricing Results'!K49/'BRA Load Pricing Results'!$B$16,0)</f>
        <v>32.709077158987256</v>
      </c>
      <c r="F32" s="258">
        <f t="shared" si="12"/>
        <v>1029.0275674217391</v>
      </c>
      <c r="G32" s="257">
        <f>IF(C32="EMAAC",$J$6*'BRA Load Pricing Results'!K49/'BRA Load Pricing Results'!$B$17,0)</f>
        <v>0</v>
      </c>
      <c r="H32" s="258">
        <f t="shared" si="11"/>
        <v>0</v>
      </c>
      <c r="I32" s="257">
        <f>IF(C32="SWMAAC",$J$7*'BRA Load Pricing Results'!K49/'BRA Load Pricing Results'!$B$18,0)</f>
        <v>0</v>
      </c>
      <c r="J32" s="258">
        <f t="shared" si="8"/>
        <v>0</v>
      </c>
      <c r="K32" s="257">
        <f>IF(D32="PS",$J$8*'BRA Load Pricing Results'!K49/'BRA Load Pricing Results'!$K$52,0)</f>
        <v>0</v>
      </c>
      <c r="L32" s="258">
        <f t="shared" si="9"/>
        <v>0</v>
      </c>
      <c r="M32" s="257">
        <f>IF(D32="DPL",$J$9*'BRA Load Pricing Results'!K49/'BRA Load Pricing Results'!$K$45,0)</f>
        <v>0</v>
      </c>
      <c r="N32" s="258">
        <f t="shared" si="4"/>
        <v>0</v>
      </c>
      <c r="O32" s="257">
        <f>IF(D32="PEPCO",$J$10*'BRA Load Pricing Results'!K49/'BRA Load Pricing Results'!$K$50,0)</f>
        <v>0</v>
      </c>
      <c r="P32" s="258">
        <f t="shared" si="10"/>
        <v>0</v>
      </c>
      <c r="Q32" s="257">
        <f>IF(D32="ATSI",$J$11*'BRA Load Pricing Results'!K49/'BRA Load Pricing Results'!$K$38,0)</f>
        <v>0</v>
      </c>
      <c r="R32" s="258">
        <f t="shared" si="5"/>
        <v>0</v>
      </c>
      <c r="S32" s="260">
        <f t="shared" si="6"/>
        <v>32.709077158987256</v>
      </c>
      <c r="T32" s="60">
        <f t="shared" si="13"/>
        <v>1029.0275674217391</v>
      </c>
      <c r="U32" s="60">
        <f>T32/'BRA Load Pricing Results'!K49</f>
        <v>0.30199199376458724</v>
      </c>
      <c r="V32" s="261">
        <f t="shared" si="7"/>
        <v>31.46</v>
      </c>
      <c r="W32" s="15"/>
    </row>
    <row r="33" spans="1:23" ht="12.75">
      <c r="A33" s="133" t="s">
        <v>15</v>
      </c>
      <c r="B33" s="85" t="s">
        <v>30</v>
      </c>
      <c r="C33" s="85" t="s">
        <v>5</v>
      </c>
      <c r="D33" s="255" t="s">
        <v>15</v>
      </c>
      <c r="E33" s="257">
        <f>IF(B33="MAAC",$J$5*'BRA Load Pricing Results'!K50/'BRA Load Pricing Results'!$B$16,0)</f>
        <v>74.00307222533499</v>
      </c>
      <c r="F33" s="258">
        <f t="shared" si="12"/>
        <v>2328.136652209039</v>
      </c>
      <c r="G33" s="257">
        <f>IF(C33="EMAAC",$J$6*'BRA Load Pricing Results'!K50/'BRA Load Pricing Results'!$B$17,0)</f>
        <v>0</v>
      </c>
      <c r="H33" s="258">
        <f t="shared" si="11"/>
        <v>0</v>
      </c>
      <c r="I33" s="257">
        <f>IF(C33="SWMAAC",$J$7*'BRA Load Pricing Results'!K50/'BRA Load Pricing Results'!$B$18,0)</f>
        <v>2081.5035229348996</v>
      </c>
      <c r="J33" s="258">
        <f t="shared" si="8"/>
        <v>0</v>
      </c>
      <c r="K33" s="257">
        <f>IF(D33="PS",$J$8*'BRA Load Pricing Results'!K50/'BRA Load Pricing Results'!$K$52,0)</f>
        <v>0</v>
      </c>
      <c r="L33" s="258">
        <f t="shared" si="9"/>
        <v>0</v>
      </c>
      <c r="M33" s="257">
        <f>IF(D33="DPL",$J$9*'BRA Load Pricing Results'!K50/'BRA Load Pricing Results'!$K$45,0)</f>
        <v>0</v>
      </c>
      <c r="N33" s="258">
        <f>M33*N16</f>
        <v>0</v>
      </c>
      <c r="O33" s="257">
        <f>IF(D33="PEPCO",$J$10*'BRA Load Pricing Results'!K50/'BRA Load Pricing Results'!$K$50,0)</f>
        <v>1387.5242776518805</v>
      </c>
      <c r="P33" s="258">
        <f>O33*$P$16</f>
        <v>0</v>
      </c>
      <c r="Q33" s="257">
        <f>IF(D33="ATSI",$J$11*'BRA Load Pricing Results'!K50/'BRA Load Pricing Results'!$K$38,0)</f>
        <v>0</v>
      </c>
      <c r="R33" s="258">
        <f t="shared" si="5"/>
        <v>0</v>
      </c>
      <c r="S33" s="260">
        <f t="shared" si="6"/>
        <v>2081.5035229348996</v>
      </c>
      <c r="T33" s="60">
        <f t="shared" si="13"/>
        <v>2328.136652209039</v>
      </c>
      <c r="U33" s="60">
        <f>T33/'BRA Load Pricing Results'!K50</f>
        <v>0.30199199376458724</v>
      </c>
      <c r="V33" s="261">
        <f t="shared" si="7"/>
        <v>1.1184879711019604</v>
      </c>
      <c r="W33" s="15"/>
    </row>
    <row r="34" spans="1:23" ht="12.75">
      <c r="A34" s="133" t="s">
        <v>10</v>
      </c>
      <c r="B34" s="85" t="s">
        <v>30</v>
      </c>
      <c r="C34" s="85"/>
      <c r="D34" s="255"/>
      <c r="E34" s="257">
        <f>IF(B34="MAAC",$J$5*'BRA Load Pricing Results'!K51/'BRA Load Pricing Results'!$B$16,0)</f>
        <v>81.89687724455575</v>
      </c>
      <c r="F34" s="258">
        <f t="shared" si="12"/>
        <v>2576.475758113724</v>
      </c>
      <c r="G34" s="257">
        <f>IF(C34="EMAAC",$J$6*'BRA Load Pricing Results'!K51/'BRA Load Pricing Results'!$B$17,0)</f>
        <v>0</v>
      </c>
      <c r="H34" s="258">
        <f t="shared" si="11"/>
        <v>0</v>
      </c>
      <c r="I34" s="257">
        <f>IF(C34="SWMAAC",$J$7*'BRA Load Pricing Results'!K51/'BRA Load Pricing Results'!$B$18,0)</f>
        <v>0</v>
      </c>
      <c r="J34" s="258">
        <f t="shared" si="8"/>
        <v>0</v>
      </c>
      <c r="K34" s="257">
        <f>IF(D34="PS",$J$8*'BRA Load Pricing Results'!K51/'BRA Load Pricing Results'!$K$52,0)</f>
        <v>0</v>
      </c>
      <c r="L34" s="258">
        <f t="shared" si="9"/>
        <v>0</v>
      </c>
      <c r="M34" s="257">
        <f>IF(D34="DPL",$J$9*'BRA Load Pricing Results'!K51/'BRA Load Pricing Results'!$K$45,0)</f>
        <v>0</v>
      </c>
      <c r="N34" s="258">
        <f>M34*$N$16</f>
        <v>0</v>
      </c>
      <c r="O34" s="257">
        <f>IF(D34="PEPCO",$J$10*'BRA Load Pricing Results'!K51/'BRA Load Pricing Results'!$K$50,0)</f>
        <v>0</v>
      </c>
      <c r="P34" s="258">
        <f>O34*$P$16</f>
        <v>0</v>
      </c>
      <c r="Q34" s="257">
        <f>IF(D34="ATSI",$J$11*'BRA Load Pricing Results'!K51/'BRA Load Pricing Results'!$K$38,0)</f>
        <v>0</v>
      </c>
      <c r="R34" s="258">
        <f t="shared" si="5"/>
        <v>0</v>
      </c>
      <c r="S34" s="260">
        <f t="shared" si="6"/>
        <v>81.89687724455575</v>
      </c>
      <c r="T34" s="60">
        <f t="shared" si="13"/>
        <v>2576.475758113724</v>
      </c>
      <c r="U34" s="60">
        <f>T34/'BRA Load Pricing Results'!K51</f>
        <v>0.30199199376458724</v>
      </c>
      <c r="V34" s="261">
        <f t="shared" si="7"/>
        <v>31.46</v>
      </c>
      <c r="W34" s="15"/>
    </row>
    <row r="35" spans="1:23" ht="12.75">
      <c r="A35" s="133" t="s">
        <v>8</v>
      </c>
      <c r="B35" s="85" t="s">
        <v>30</v>
      </c>
      <c r="C35" s="85" t="s">
        <v>41</v>
      </c>
      <c r="D35" s="255" t="s">
        <v>8</v>
      </c>
      <c r="E35" s="257">
        <f>IF(B35="MAAC",$J$5*'BRA Load Pricing Results'!K52/'BRA Load Pricing Results'!$B$16,0)</f>
        <v>114.724739431192</v>
      </c>
      <c r="F35" s="258">
        <f t="shared" si="12"/>
        <v>3609.2403025053004</v>
      </c>
      <c r="G35" s="257">
        <f>IF(C35="EMAAC",$J$6*'BRA Load Pricing Results'!K52/'BRA Load Pricing Results'!$B$17,0)</f>
        <v>818.2618278288766</v>
      </c>
      <c r="H35" s="258">
        <f>G35*$H$16</f>
        <v>0</v>
      </c>
      <c r="I35" s="257">
        <f>IF(C35="SWMAAC",$J$7*'BRA Load Pricing Results'!K52/'BRA Load Pricing Results'!$B$18,0)</f>
        <v>0</v>
      </c>
      <c r="J35" s="258">
        <f t="shared" si="8"/>
        <v>0</v>
      </c>
      <c r="K35" s="257">
        <f>IF(D35="PS",$J$8*'BRA Load Pricing Results'!K52/'BRA Load Pricing Results'!$K$52,0)</f>
        <v>3830.928560597341</v>
      </c>
      <c r="L35" s="258">
        <f>K35*$L$16</f>
        <v>0</v>
      </c>
      <c r="M35" s="257">
        <f>IF(D35="DPL",$J$9*'BRA Load Pricing Results'!K52/'BRA Load Pricing Results'!$K$45,0)</f>
        <v>0</v>
      </c>
      <c r="N35" s="258">
        <f>M35*$N$16</f>
        <v>0</v>
      </c>
      <c r="O35" s="257">
        <f>IF(D35="PEPCO",$J$10*'BRA Load Pricing Results'!K52/'BRA Load Pricing Results'!$K$50,0)</f>
        <v>0</v>
      </c>
      <c r="P35" s="258">
        <f>O35*$P$16</f>
        <v>0</v>
      </c>
      <c r="Q35" s="257">
        <f>IF(D35="ATSI",$J$11*'BRA Load Pricing Results'!K52/'BRA Load Pricing Results'!$K$38,0)</f>
        <v>0</v>
      </c>
      <c r="R35" s="258">
        <f t="shared" si="5"/>
        <v>0</v>
      </c>
      <c r="S35" s="260">
        <f t="shared" si="6"/>
        <v>3830.928560597341</v>
      </c>
      <c r="T35" s="60">
        <f t="shared" si="13"/>
        <v>3609.2403025053004</v>
      </c>
      <c r="U35" s="60">
        <f>T35/'BRA Load Pricing Results'!K52</f>
        <v>0.30199199376458724</v>
      </c>
      <c r="V35" s="261">
        <f t="shared" si="7"/>
        <v>0.9421319780347265</v>
      </c>
      <c r="W35" s="15"/>
    </row>
    <row r="36" spans="1:23" ht="13.5" thickBot="1">
      <c r="A36" s="109" t="s">
        <v>18</v>
      </c>
      <c r="B36" s="89" t="s">
        <v>30</v>
      </c>
      <c r="C36" s="89" t="s">
        <v>41</v>
      </c>
      <c r="D36" s="256"/>
      <c r="E36" s="281">
        <f>IF(B36="MAAC",$J$5*'BRA Load Pricing Results'!K53/'BRA Load Pricing Results'!$B$16,0)</f>
        <v>4.557025606171218</v>
      </c>
      <c r="F36" s="282">
        <f t="shared" si="12"/>
        <v>143.36402557014654</v>
      </c>
      <c r="G36" s="281">
        <f>IF(C36="EMAAC",$J$6*'BRA Load Pricing Results'!K53/'BRA Load Pricing Results'!$B$17,0)</f>
        <v>32.50249353763045</v>
      </c>
      <c r="H36" s="282">
        <f>G36*$H$16</f>
        <v>0</v>
      </c>
      <c r="I36" s="281">
        <f>IF(C36="SWMAAC",$J$7*'BRA Load Pricing Results'!K53/'BRA Load Pricing Results'!$B$18,0)</f>
        <v>0</v>
      </c>
      <c r="J36" s="282">
        <f t="shared" si="8"/>
        <v>0</v>
      </c>
      <c r="K36" s="281">
        <f>IF(D36="PS",$J$8*'BRA Load Pricing Results'!K53/'BRA Load Pricing Results'!$K$52,0)</f>
        <v>0</v>
      </c>
      <c r="L36" s="282">
        <f t="shared" si="9"/>
        <v>0</v>
      </c>
      <c r="M36" s="281">
        <f>IF(D36="DPL",$J$9*'BRA Load Pricing Results'!K53/'BRA Load Pricing Results'!$K$45,0)</f>
        <v>0</v>
      </c>
      <c r="N36" s="282">
        <f>M36*$N$16</f>
        <v>0</v>
      </c>
      <c r="O36" s="281">
        <f>IF(D36="PEPCO",$J$10*'BRA Load Pricing Results'!K53/'BRA Load Pricing Results'!$K$50,0)</f>
        <v>0</v>
      </c>
      <c r="P36" s="282">
        <f>O36*$P$16</f>
        <v>0</v>
      </c>
      <c r="Q36" s="281">
        <f>IF(D36="ATSI",$J$11*'BRA Load Pricing Results'!K53/'BRA Load Pricing Results'!$K$38,0)</f>
        <v>0</v>
      </c>
      <c r="R36" s="282">
        <f t="shared" si="5"/>
        <v>0</v>
      </c>
      <c r="S36" s="283">
        <f t="shared" si="6"/>
        <v>32.50249353763045</v>
      </c>
      <c r="T36" s="284">
        <f>F36+H36+J36+L36+N36+P36+R36</f>
        <v>143.36402557014654</v>
      </c>
      <c r="U36" s="284">
        <f>T36/'BRA Load Pricing Results'!K53</f>
        <v>0.30199199376458724</v>
      </c>
      <c r="V36" s="285">
        <f t="shared" si="7"/>
        <v>4.410862366733919</v>
      </c>
      <c r="W36" s="15"/>
    </row>
    <row r="37" spans="1:23" ht="13.5" thickBot="1">
      <c r="A37" s="676" t="s">
        <v>91</v>
      </c>
      <c r="B37" s="677"/>
      <c r="C37" s="677"/>
      <c r="D37" s="678"/>
      <c r="E37" s="286">
        <f aca="true" t="shared" si="14" ref="E37:L37">SUM(E18:E36)</f>
        <v>659.8724258680206</v>
      </c>
      <c r="F37" s="287">
        <f>SUM(F18:F36)</f>
        <v>20759.58651780793</v>
      </c>
      <c r="G37" s="286">
        <f t="shared" si="14"/>
        <v>2563.3838623682864</v>
      </c>
      <c r="H37" s="287">
        <f t="shared" si="14"/>
        <v>0</v>
      </c>
      <c r="I37" s="286">
        <f t="shared" si="14"/>
        <v>4298.169612294144</v>
      </c>
      <c r="J37" s="287">
        <f t="shared" si="14"/>
        <v>0</v>
      </c>
      <c r="K37" s="286">
        <f>SUM(K18:K36)</f>
        <v>3830.928560597341</v>
      </c>
      <c r="L37" s="287">
        <f t="shared" si="14"/>
        <v>0</v>
      </c>
      <c r="M37" s="286">
        <f aca="true" t="shared" si="15" ref="M37:R37">SUM(M18:M36)</f>
        <v>0</v>
      </c>
      <c r="N37" s="287">
        <f t="shared" si="15"/>
        <v>0</v>
      </c>
      <c r="O37" s="286">
        <f t="shared" si="15"/>
        <v>1387.5242776518805</v>
      </c>
      <c r="P37" s="287">
        <f t="shared" si="15"/>
        <v>0</v>
      </c>
      <c r="Q37" s="286">
        <f t="shared" si="15"/>
        <v>3875.9835008747464</v>
      </c>
      <c r="R37" s="287">
        <f t="shared" si="15"/>
        <v>721243.0098427729</v>
      </c>
      <c r="S37" s="288"/>
      <c r="T37" s="289">
        <f>SUM(T18:T36)</f>
        <v>742002.5963605808</v>
      </c>
      <c r="U37" s="290"/>
      <c r="V37" s="291"/>
      <c r="W37" s="29"/>
    </row>
    <row r="38" ht="12.75">
      <c r="A38" s="12" t="s">
        <v>92</v>
      </c>
    </row>
    <row r="39" ht="12.75">
      <c r="A39" s="12" t="s">
        <v>93</v>
      </c>
    </row>
    <row r="40" ht="12.75">
      <c r="A40" s="12" t="s">
        <v>94</v>
      </c>
    </row>
    <row r="41" ht="12.75">
      <c r="A41" s="12" t="s">
        <v>95</v>
      </c>
    </row>
    <row r="42" ht="12.75">
      <c r="A42" s="12" t="s">
        <v>96</v>
      </c>
    </row>
  </sheetData>
  <sheetProtection/>
  <mergeCells count="9">
    <mergeCell ref="Q15:R15"/>
    <mergeCell ref="O15:P15"/>
    <mergeCell ref="I15:J15"/>
    <mergeCell ref="A14:D16"/>
    <mergeCell ref="A37:D37"/>
    <mergeCell ref="E15:F15"/>
    <mergeCell ref="G15:H15"/>
    <mergeCell ref="K15:L15"/>
    <mergeCell ref="M15:N15"/>
  </mergeCells>
  <printOptions horizontalCentered="1" verticalCentered="1"/>
  <pageMargins left="0.45" right="0.2" top="0.25" bottom="0.25" header="0" footer="0"/>
  <pageSetup fitToHeight="1" fitToWidth="1" horizontalDpi="600" verticalDpi="600" orientation="landscape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18" width="15.7109375" style="0" customWidth="1"/>
  </cols>
  <sheetData>
    <row r="1" spans="1:2" ht="18.75">
      <c r="A1" s="3" t="s">
        <v>151</v>
      </c>
      <c r="B1" s="19" t="s">
        <v>24</v>
      </c>
    </row>
    <row r="2" spans="1:3" ht="19.5" thickBot="1">
      <c r="A2" s="3"/>
      <c r="C2" s="68"/>
    </row>
    <row r="3" ht="13.5" thickBot="1">
      <c r="A3" s="679" t="s">
        <v>81</v>
      </c>
    </row>
    <row r="4" spans="1:14" ht="18.75" customHeight="1" thickBot="1">
      <c r="A4" s="680"/>
      <c r="B4" s="232" t="s">
        <v>30</v>
      </c>
      <c r="C4" s="215" t="s">
        <v>41</v>
      </c>
      <c r="D4" s="215" t="s">
        <v>5</v>
      </c>
      <c r="E4" s="215" t="s">
        <v>8</v>
      </c>
      <c r="F4" s="215" t="s">
        <v>42</v>
      </c>
      <c r="H4" s="117"/>
      <c r="I4" s="117"/>
      <c r="J4" s="117"/>
      <c r="K4" s="117"/>
      <c r="L4" s="117"/>
      <c r="M4" s="117"/>
      <c r="N4" s="117"/>
    </row>
    <row r="5" spans="1:15" ht="30" customHeight="1">
      <c r="A5" s="175" t="s">
        <v>161</v>
      </c>
      <c r="B5" s="201" t="s">
        <v>175</v>
      </c>
      <c r="C5" s="202" t="s">
        <v>175</v>
      </c>
      <c r="D5" s="202" t="s">
        <v>175</v>
      </c>
      <c r="E5" s="202" t="s">
        <v>175</v>
      </c>
      <c r="F5" s="202" t="s">
        <v>175</v>
      </c>
      <c r="H5" s="117"/>
      <c r="I5" s="117"/>
      <c r="J5" s="117"/>
      <c r="K5" s="117"/>
      <c r="L5" s="117"/>
      <c r="M5" s="117"/>
      <c r="N5" s="117"/>
      <c r="O5" s="41"/>
    </row>
    <row r="6" spans="1:15" ht="19.5" customHeight="1">
      <c r="A6" s="203" t="s">
        <v>162</v>
      </c>
      <c r="B6" s="178"/>
      <c r="C6" s="179"/>
      <c r="D6" s="179"/>
      <c r="E6" s="179"/>
      <c r="F6" s="179"/>
      <c r="H6" s="117"/>
      <c r="I6" s="117"/>
      <c r="J6" s="117"/>
      <c r="K6" s="117"/>
      <c r="L6" s="117"/>
      <c r="M6" s="117"/>
      <c r="N6" s="117"/>
      <c r="O6" s="41"/>
    </row>
    <row r="7" spans="1:15" ht="25.5">
      <c r="A7" s="176" t="s">
        <v>152</v>
      </c>
      <c r="B7" s="207">
        <v>160</v>
      </c>
      <c r="C7" s="208">
        <v>0</v>
      </c>
      <c r="D7" s="208">
        <v>0</v>
      </c>
      <c r="E7" s="208">
        <v>0</v>
      </c>
      <c r="F7" s="208">
        <v>0</v>
      </c>
      <c r="H7" s="118"/>
      <c r="I7" s="118"/>
      <c r="J7" s="118"/>
      <c r="K7" s="118"/>
      <c r="L7" s="118"/>
      <c r="M7" s="118"/>
      <c r="N7" s="118"/>
      <c r="O7" s="41"/>
    </row>
    <row r="8" spans="1:15" ht="25.5">
      <c r="A8" s="176" t="s">
        <v>153</v>
      </c>
      <c r="B8" s="207">
        <v>106</v>
      </c>
      <c r="C8" s="208">
        <v>0</v>
      </c>
      <c r="D8" s="208">
        <v>0</v>
      </c>
      <c r="E8" s="208">
        <v>0</v>
      </c>
      <c r="F8" s="208">
        <v>0</v>
      </c>
      <c r="H8" s="118"/>
      <c r="I8" s="118"/>
      <c r="J8" s="118"/>
      <c r="K8" s="118"/>
      <c r="L8" s="118"/>
      <c r="M8" s="118"/>
      <c r="N8" s="118"/>
      <c r="O8" s="41"/>
    </row>
    <row r="9" spans="1:15" ht="25.5">
      <c r="A9" s="204" t="s">
        <v>157</v>
      </c>
      <c r="B9" s="207">
        <v>117</v>
      </c>
      <c r="C9" s="208">
        <v>0</v>
      </c>
      <c r="D9" s="208">
        <v>0</v>
      </c>
      <c r="E9" s="208">
        <v>0</v>
      </c>
      <c r="F9" s="208">
        <v>0</v>
      </c>
      <c r="H9" s="118"/>
      <c r="I9" s="118"/>
      <c r="J9" s="118"/>
      <c r="K9" s="118"/>
      <c r="L9" s="118"/>
      <c r="M9" s="118"/>
      <c r="N9" s="118"/>
      <c r="O9" s="41"/>
    </row>
    <row r="10" spans="1:15" ht="25.5">
      <c r="A10" s="176" t="s">
        <v>158</v>
      </c>
      <c r="B10" s="207">
        <v>0</v>
      </c>
      <c r="C10" s="208">
        <v>898</v>
      </c>
      <c r="D10" s="208">
        <v>0</v>
      </c>
      <c r="E10" s="208">
        <v>68.9</v>
      </c>
      <c r="F10" s="208">
        <v>105.5</v>
      </c>
      <c r="H10" s="118"/>
      <c r="I10" s="118"/>
      <c r="J10" s="118"/>
      <c r="K10" s="118"/>
      <c r="L10" s="118"/>
      <c r="M10" s="118"/>
      <c r="N10" s="118"/>
      <c r="O10" s="41"/>
    </row>
    <row r="11" spans="1:15" ht="30" customHeight="1">
      <c r="A11" s="205" t="s">
        <v>164</v>
      </c>
      <c r="B11" s="209">
        <f>SUM(B7:B10)</f>
        <v>383</v>
      </c>
      <c r="C11" s="210">
        <f>SUM(C7:C10)</f>
        <v>898</v>
      </c>
      <c r="D11" s="210">
        <f>SUM(D7:D10)</f>
        <v>0</v>
      </c>
      <c r="E11" s="210">
        <f>SUM(E7:E10)</f>
        <v>68.9</v>
      </c>
      <c r="F11" s="210">
        <f>SUM(F7:F10)</f>
        <v>105.5</v>
      </c>
      <c r="H11" s="118"/>
      <c r="I11" s="118"/>
      <c r="J11" s="118"/>
      <c r="K11" s="118"/>
      <c r="L11" s="118"/>
      <c r="M11" s="118"/>
      <c r="N11" s="118"/>
      <c r="O11" s="41"/>
    </row>
    <row r="12" spans="1:15" ht="19.5" customHeight="1">
      <c r="A12" s="203" t="s">
        <v>163</v>
      </c>
      <c r="B12" s="207" t="s">
        <v>24</v>
      </c>
      <c r="C12" s="208"/>
      <c r="D12" s="208"/>
      <c r="E12" s="208"/>
      <c r="F12" s="208"/>
      <c r="H12" s="120"/>
      <c r="I12" s="119"/>
      <c r="J12" s="120"/>
      <c r="K12" s="119"/>
      <c r="L12" s="119"/>
      <c r="M12" s="119"/>
      <c r="N12" s="120"/>
      <c r="O12" s="41"/>
    </row>
    <row r="13" spans="1:15" ht="39">
      <c r="A13" s="176" t="s">
        <v>154</v>
      </c>
      <c r="B13" s="207">
        <v>16</v>
      </c>
      <c r="C13" s="208">
        <v>0</v>
      </c>
      <c r="D13" s="208">
        <v>237</v>
      </c>
      <c r="E13" s="208">
        <v>0</v>
      </c>
      <c r="F13" s="208">
        <v>0</v>
      </c>
      <c r="H13" s="120"/>
      <c r="I13" s="119"/>
      <c r="J13" s="120"/>
      <c r="K13" s="119"/>
      <c r="L13" s="119"/>
      <c r="M13" s="119"/>
      <c r="N13" s="120"/>
      <c r="O13" s="41"/>
    </row>
    <row r="14" spans="1:15" ht="26.25">
      <c r="A14" s="176" t="s">
        <v>197</v>
      </c>
      <c r="B14" s="207">
        <v>0</v>
      </c>
      <c r="C14" s="208">
        <v>0</v>
      </c>
      <c r="D14" s="208">
        <v>0</v>
      </c>
      <c r="E14" s="208">
        <v>340.2</v>
      </c>
      <c r="F14" s="208">
        <v>494.5</v>
      </c>
      <c r="H14" s="120"/>
      <c r="I14" s="119"/>
      <c r="J14" s="120"/>
      <c r="K14" s="119"/>
      <c r="L14" s="119"/>
      <c r="M14" s="119"/>
      <c r="N14" s="120"/>
      <c r="O14" s="41"/>
    </row>
    <row r="15" spans="1:15" ht="26.25">
      <c r="A15" s="176" t="s">
        <v>155</v>
      </c>
      <c r="B15" s="207">
        <v>0</v>
      </c>
      <c r="C15" s="208">
        <v>0</v>
      </c>
      <c r="D15" s="208">
        <v>0</v>
      </c>
      <c r="E15" s="208">
        <v>90.3</v>
      </c>
      <c r="F15" s="208">
        <v>0</v>
      </c>
      <c r="H15" s="120"/>
      <c r="I15" s="119"/>
      <c r="J15" s="120"/>
      <c r="K15" s="119"/>
      <c r="L15" s="119"/>
      <c r="M15" s="119"/>
      <c r="N15" s="120"/>
      <c r="O15" s="41"/>
    </row>
    <row r="16" spans="1:15" ht="15.75" customHeight="1">
      <c r="A16" s="205" t="s">
        <v>165</v>
      </c>
      <c r="B16" s="209">
        <f>SUM(B13:B15)</f>
        <v>16</v>
      </c>
      <c r="C16" s="210">
        <f>SUM(C13:C15)</f>
        <v>0</v>
      </c>
      <c r="D16" s="210">
        <f>SUM(D13:D15)</f>
        <v>237</v>
      </c>
      <c r="E16" s="210">
        <f>SUM(E13:E15)</f>
        <v>430.5</v>
      </c>
      <c r="F16" s="210">
        <f>SUM(F13:F15)</f>
        <v>494.5</v>
      </c>
      <c r="H16" s="120"/>
      <c r="I16" s="119"/>
      <c r="J16" s="120"/>
      <c r="K16" s="119"/>
      <c r="L16" s="119"/>
      <c r="M16" s="119"/>
      <c r="N16" s="120"/>
      <c r="O16" s="41"/>
    </row>
    <row r="17" spans="1:15" ht="15">
      <c r="A17" s="180" t="s">
        <v>100</v>
      </c>
      <c r="B17" s="211"/>
      <c r="C17" s="212"/>
      <c r="D17" s="212"/>
      <c r="E17" s="212"/>
      <c r="F17" s="212"/>
      <c r="H17" s="120"/>
      <c r="I17" s="119"/>
      <c r="J17" s="120"/>
      <c r="K17" s="119"/>
      <c r="L17" s="119"/>
      <c r="M17" s="119"/>
      <c r="N17" s="120"/>
      <c r="O17" s="41"/>
    </row>
    <row r="18" spans="1:15" ht="30" customHeight="1">
      <c r="A18" s="176" t="s">
        <v>156</v>
      </c>
      <c r="B18" s="207">
        <v>159</v>
      </c>
      <c r="C18" s="208">
        <v>0</v>
      </c>
      <c r="D18" s="208">
        <v>0</v>
      </c>
      <c r="E18" s="208">
        <v>0</v>
      </c>
      <c r="F18" s="208">
        <v>0</v>
      </c>
      <c r="H18" s="120"/>
      <c r="I18" s="119"/>
      <c r="J18" s="120"/>
      <c r="K18" s="119"/>
      <c r="L18" s="119"/>
      <c r="M18" s="119"/>
      <c r="N18" s="120"/>
      <c r="O18" s="41"/>
    </row>
    <row r="19" spans="1:15" ht="15.75" customHeight="1">
      <c r="A19" s="206" t="s">
        <v>120</v>
      </c>
      <c r="B19" s="209">
        <f>SUM(B18)</f>
        <v>159</v>
      </c>
      <c r="C19" s="210">
        <f>SUM(C18)</f>
        <v>0</v>
      </c>
      <c r="D19" s="210">
        <f>SUM(D18)</f>
        <v>0</v>
      </c>
      <c r="E19" s="210">
        <f>SUM(E18)</f>
        <v>0</v>
      </c>
      <c r="F19" s="210">
        <f>SUM(F18)</f>
        <v>0</v>
      </c>
      <c r="H19" s="120"/>
      <c r="I19" s="119"/>
      <c r="J19" s="120"/>
      <c r="K19" s="119"/>
      <c r="L19" s="119"/>
      <c r="M19" s="119"/>
      <c r="N19" s="120"/>
      <c r="O19" s="41"/>
    </row>
    <row r="20" spans="1:15" ht="15">
      <c r="A20" s="177"/>
      <c r="B20" s="207"/>
      <c r="C20" s="213"/>
      <c r="D20" s="213"/>
      <c r="E20" s="213"/>
      <c r="F20" s="213"/>
      <c r="H20" s="120"/>
      <c r="I20" s="119"/>
      <c r="J20" s="120"/>
      <c r="K20" s="119"/>
      <c r="L20" s="119"/>
      <c r="M20" s="119"/>
      <c r="N20" s="120"/>
      <c r="O20" s="41"/>
    </row>
    <row r="21" spans="1:15" ht="15.75" thickBot="1">
      <c r="A21" s="220" t="s">
        <v>121</v>
      </c>
      <c r="B21" s="218">
        <f>B11+B16+B19</f>
        <v>558</v>
      </c>
      <c r="C21" s="219">
        <f>C11+C16+C19</f>
        <v>898</v>
      </c>
      <c r="D21" s="214">
        <f>D11+D16+D19</f>
        <v>237</v>
      </c>
      <c r="E21" s="214">
        <f>E11+E16+E19</f>
        <v>499.4</v>
      </c>
      <c r="F21" s="214">
        <f>F11+F16+F19</f>
        <v>600</v>
      </c>
      <c r="H21" s="118"/>
      <c r="I21" s="122"/>
      <c r="J21" s="118"/>
      <c r="K21" s="122"/>
      <c r="L21" s="122"/>
      <c r="M21" s="122"/>
      <c r="N21" s="118"/>
      <c r="O21" s="41"/>
    </row>
    <row r="22" spans="1:13" s="41" customFormat="1" ht="34.5" customHeight="1">
      <c r="A22" s="690" t="s">
        <v>183</v>
      </c>
      <c r="B22" s="691"/>
      <c r="C22" s="691"/>
      <c r="D22" s="692"/>
      <c r="E22" s="125"/>
      <c r="F22" s="125"/>
      <c r="G22" s="125"/>
      <c r="H22" s="125"/>
      <c r="I22" s="126"/>
      <c r="J22" s="125"/>
      <c r="K22" s="125"/>
      <c r="L22" s="125"/>
      <c r="M22" s="126"/>
    </row>
    <row r="23" spans="1:13" s="41" customFormat="1" ht="15">
      <c r="A23" s="12"/>
      <c r="B23" s="123"/>
      <c r="C23" s="123"/>
      <c r="D23" s="124"/>
      <c r="E23" s="125"/>
      <c r="F23" s="125"/>
      <c r="G23" s="125"/>
      <c r="H23" s="125"/>
      <c r="I23" s="126"/>
      <c r="J23" s="125"/>
      <c r="K23" s="125"/>
      <c r="L23" s="125"/>
      <c r="M23" s="126"/>
    </row>
    <row r="24" spans="1:13" s="41" customFormat="1" ht="15.75" thickBot="1">
      <c r="A24" s="121"/>
      <c r="B24" s="123"/>
      <c r="C24" s="123"/>
      <c r="D24" s="124"/>
      <c r="E24" s="125"/>
      <c r="F24" s="125"/>
      <c r="G24" s="125"/>
      <c r="H24" s="125"/>
      <c r="I24" s="126"/>
      <c r="J24" s="125"/>
      <c r="K24" s="125"/>
      <c r="L24" s="125"/>
      <c r="M24" s="126"/>
    </row>
    <row r="25" spans="1:13" ht="48" thickBot="1">
      <c r="A25" s="128" t="s">
        <v>166</v>
      </c>
      <c r="B25" s="197" t="s">
        <v>24</v>
      </c>
      <c r="C25" s="197" t="s">
        <v>24</v>
      </c>
      <c r="D25" s="40"/>
      <c r="E25" s="125"/>
      <c r="F25" s="125"/>
      <c r="G25" s="125"/>
      <c r="H25" s="125"/>
      <c r="I25" s="126"/>
      <c r="J25" s="125"/>
      <c r="K25" s="125"/>
      <c r="L25" s="125"/>
      <c r="M25" s="126"/>
    </row>
    <row r="26" spans="1:13" ht="79.5" customHeight="1">
      <c r="A26" s="222" t="s">
        <v>78</v>
      </c>
      <c r="B26" s="221" t="s">
        <v>162</v>
      </c>
      <c r="C26" s="216" t="s">
        <v>167</v>
      </c>
      <c r="D26" s="216" t="s">
        <v>168</v>
      </c>
      <c r="E26" s="216" t="s">
        <v>169</v>
      </c>
      <c r="F26" s="125"/>
      <c r="G26" s="125"/>
      <c r="H26" s="125"/>
      <c r="I26" s="126"/>
      <c r="J26" s="125"/>
      <c r="K26" s="125"/>
      <c r="L26" s="125"/>
      <c r="M26" s="126"/>
    </row>
    <row r="27" spans="1:13" ht="14.25">
      <c r="A27" s="51" t="s">
        <v>16</v>
      </c>
      <c r="B27" s="61">
        <v>0.0183</v>
      </c>
      <c r="C27" s="61">
        <v>0.0896</v>
      </c>
      <c r="D27" s="61">
        <v>0.0021</v>
      </c>
      <c r="E27" s="61">
        <v>0</v>
      </c>
      <c r="F27" s="125"/>
      <c r="G27" s="125"/>
      <c r="H27" s="125"/>
      <c r="I27" s="126"/>
      <c r="J27" s="125"/>
      <c r="K27" s="125"/>
      <c r="L27" s="125"/>
      <c r="M27" s="126"/>
    </row>
    <row r="28" spans="1:13" ht="14.25">
      <c r="A28" s="51" t="s">
        <v>32</v>
      </c>
      <c r="B28" s="61">
        <v>0.1512</v>
      </c>
      <c r="C28" s="61">
        <v>0</v>
      </c>
      <c r="D28" s="61">
        <v>0</v>
      </c>
      <c r="E28" s="61">
        <v>0</v>
      </c>
      <c r="F28" s="125"/>
      <c r="G28" s="125"/>
      <c r="H28" s="125"/>
      <c r="I28" s="126"/>
      <c r="J28" s="125"/>
      <c r="K28" s="125"/>
      <c r="L28" s="125"/>
      <c r="M28" s="126"/>
    </row>
    <row r="29" spans="1:13" ht="14.25">
      <c r="A29" s="51" t="s">
        <v>19</v>
      </c>
      <c r="B29" s="61">
        <v>0.0553</v>
      </c>
      <c r="C29" s="61">
        <v>0</v>
      </c>
      <c r="D29" s="61">
        <v>0</v>
      </c>
      <c r="E29" s="61">
        <v>0</v>
      </c>
      <c r="F29" s="125"/>
      <c r="G29" s="125"/>
      <c r="H29" s="125"/>
      <c r="I29" s="126"/>
      <c r="J29" s="125"/>
      <c r="K29" s="125"/>
      <c r="L29" s="125"/>
      <c r="M29" s="126"/>
    </row>
    <row r="30" spans="1:5" s="41" customFormat="1" ht="12.75">
      <c r="A30" s="51" t="s">
        <v>51</v>
      </c>
      <c r="B30" s="61">
        <v>0.0865</v>
      </c>
      <c r="C30" s="61">
        <v>0</v>
      </c>
      <c r="D30" s="61">
        <v>0</v>
      </c>
      <c r="E30" s="61">
        <v>0</v>
      </c>
    </row>
    <row r="31" spans="1:5" s="41" customFormat="1" ht="12.75">
      <c r="A31" s="51" t="s">
        <v>11</v>
      </c>
      <c r="B31" s="61">
        <v>0.0446</v>
      </c>
      <c r="C31" s="61">
        <v>0</v>
      </c>
      <c r="D31" s="61">
        <v>0.0088</v>
      </c>
      <c r="E31" s="61">
        <v>0</v>
      </c>
    </row>
    <row r="32" spans="1:5" s="41" customFormat="1" ht="12.75">
      <c r="A32" s="51" t="s">
        <v>20</v>
      </c>
      <c r="B32" s="61">
        <v>0.1464</v>
      </c>
      <c r="C32" s="61">
        <v>0</v>
      </c>
      <c r="D32" s="61">
        <v>0.0211</v>
      </c>
      <c r="E32" s="61">
        <v>0</v>
      </c>
    </row>
    <row r="33" spans="1:13" ht="12.75">
      <c r="A33" s="51" t="s">
        <v>21</v>
      </c>
      <c r="B33" s="61">
        <v>0.0221</v>
      </c>
      <c r="C33" s="61">
        <v>0</v>
      </c>
      <c r="D33" s="61">
        <v>0.0012</v>
      </c>
      <c r="E33" s="61">
        <v>0</v>
      </c>
      <c r="F33" s="41"/>
      <c r="G33" s="41"/>
      <c r="H33" s="41"/>
      <c r="I33" s="41"/>
      <c r="J33" s="41"/>
      <c r="K33" s="41"/>
      <c r="L33" s="41"/>
      <c r="M33" s="41"/>
    </row>
    <row r="34" spans="1:13" ht="12.75">
      <c r="A34" s="51" t="s">
        <v>66</v>
      </c>
      <c r="B34" s="61">
        <v>0</v>
      </c>
      <c r="C34" s="61">
        <v>0</v>
      </c>
      <c r="D34" s="61">
        <v>0</v>
      </c>
      <c r="E34" s="61">
        <v>0</v>
      </c>
      <c r="F34" s="41"/>
      <c r="G34" s="41"/>
      <c r="H34" s="41"/>
      <c r="I34" s="41"/>
      <c r="J34" s="41"/>
      <c r="K34" s="41"/>
      <c r="L34" s="41"/>
      <c r="M34" s="41"/>
    </row>
    <row r="35" spans="1:13" ht="12.75">
      <c r="A35" s="51" t="s">
        <v>50</v>
      </c>
      <c r="B35" s="61">
        <v>0.0185</v>
      </c>
      <c r="C35" s="61">
        <v>0</v>
      </c>
      <c r="D35" s="61">
        <v>0</v>
      </c>
      <c r="E35" s="61">
        <v>0</v>
      </c>
      <c r="F35" s="41"/>
      <c r="G35" s="41"/>
      <c r="H35" s="41"/>
      <c r="I35" s="41"/>
      <c r="J35" s="41"/>
      <c r="K35" s="41"/>
      <c r="L35" s="41"/>
      <c r="M35" s="41"/>
    </row>
    <row r="36" spans="1:13" ht="12.75">
      <c r="A36" s="51" t="s">
        <v>33</v>
      </c>
      <c r="B36" s="61">
        <v>0.1238</v>
      </c>
      <c r="C36" s="61">
        <v>0</v>
      </c>
      <c r="D36" s="61">
        <v>0</v>
      </c>
      <c r="E36" s="61">
        <v>0</v>
      </c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51" t="s">
        <v>17</v>
      </c>
      <c r="B37" s="61">
        <v>0.0261</v>
      </c>
      <c r="C37" s="61">
        <v>0.1677</v>
      </c>
      <c r="D37" s="61">
        <v>0</v>
      </c>
      <c r="E37" s="61">
        <v>0</v>
      </c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51" t="s">
        <v>12</v>
      </c>
      <c r="B38" s="61">
        <v>0.0407</v>
      </c>
      <c r="C38" s="61">
        <v>0.0959</v>
      </c>
      <c r="D38" s="61">
        <v>0.0106</v>
      </c>
      <c r="E38" s="61">
        <v>0.1282</v>
      </c>
      <c r="F38" s="41"/>
      <c r="G38" s="41"/>
      <c r="H38" s="41"/>
      <c r="I38" s="41"/>
      <c r="J38" s="41"/>
      <c r="K38" s="41"/>
      <c r="L38" s="41"/>
      <c r="M38" s="41"/>
    </row>
    <row r="39" spans="1:13" ht="12.75">
      <c r="A39" s="51" t="s">
        <v>13</v>
      </c>
      <c r="B39" s="61">
        <v>0.0192</v>
      </c>
      <c r="C39" s="61">
        <v>0.0147</v>
      </c>
      <c r="D39" s="61">
        <v>0</v>
      </c>
      <c r="E39" s="61">
        <v>0</v>
      </c>
      <c r="F39" s="41"/>
      <c r="G39" s="41"/>
      <c r="H39" s="41"/>
      <c r="I39" s="41"/>
      <c r="J39" s="41"/>
      <c r="K39" s="41"/>
      <c r="L39" s="41"/>
      <c r="M39" s="41"/>
    </row>
    <row r="40" spans="1:13" ht="12.75">
      <c r="A40" s="51" t="s">
        <v>9</v>
      </c>
      <c r="B40" s="61">
        <v>0.0554</v>
      </c>
      <c r="C40" s="61">
        <v>0.3064</v>
      </c>
      <c r="D40" s="61">
        <v>0</v>
      </c>
      <c r="E40" s="61">
        <v>0.5108</v>
      </c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51" t="s">
        <v>14</v>
      </c>
      <c r="B41" s="61">
        <v>0.0193</v>
      </c>
      <c r="C41" s="61">
        <v>0</v>
      </c>
      <c r="D41" s="61">
        <v>0.027</v>
      </c>
      <c r="E41" s="61">
        <v>0</v>
      </c>
      <c r="F41" s="41"/>
      <c r="G41" s="41"/>
      <c r="H41" s="41"/>
      <c r="I41" s="41"/>
      <c r="J41" s="41"/>
      <c r="K41" s="41"/>
      <c r="L41" s="41"/>
      <c r="M41" s="41"/>
    </row>
    <row r="42" spans="1:13" ht="12.75">
      <c r="A42" s="51" t="s">
        <v>15</v>
      </c>
      <c r="B42" s="61">
        <v>0.0433</v>
      </c>
      <c r="C42" s="61">
        <v>0</v>
      </c>
      <c r="D42" s="61">
        <v>0.0095</v>
      </c>
      <c r="E42" s="61">
        <v>0.0057</v>
      </c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51" t="s">
        <v>10</v>
      </c>
      <c r="B43" s="61">
        <v>0.0477</v>
      </c>
      <c r="C43" s="61">
        <v>0.1633</v>
      </c>
      <c r="D43" s="61">
        <v>0</v>
      </c>
      <c r="E43" s="61">
        <v>0</v>
      </c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51" t="s">
        <v>8</v>
      </c>
      <c r="B44" s="61">
        <v>0.0674</v>
      </c>
      <c r="C44" s="61">
        <v>0.14</v>
      </c>
      <c r="D44" s="61">
        <v>0.6381</v>
      </c>
      <c r="E44" s="61">
        <v>0.3146</v>
      </c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51" t="s">
        <v>18</v>
      </c>
      <c r="B45" s="61">
        <v>0.0027</v>
      </c>
      <c r="C45" s="61">
        <v>0.0052</v>
      </c>
      <c r="D45" s="61">
        <v>0.0253</v>
      </c>
      <c r="E45" s="61">
        <v>0.0125</v>
      </c>
      <c r="F45" s="41"/>
      <c r="G45" s="41"/>
      <c r="H45" s="41"/>
      <c r="I45" s="41"/>
      <c r="J45" s="41"/>
      <c r="K45" s="41"/>
      <c r="L45" s="41"/>
      <c r="M45" s="41"/>
    </row>
    <row r="46" spans="1:5" s="41" customFormat="1" ht="12.75">
      <c r="A46" s="51" t="s">
        <v>184</v>
      </c>
      <c r="B46" s="61">
        <v>0.0055</v>
      </c>
      <c r="C46" s="61">
        <v>0.0049</v>
      </c>
      <c r="D46" s="61">
        <v>0.0905</v>
      </c>
      <c r="E46" s="61">
        <v>0</v>
      </c>
    </row>
    <row r="47" spans="1:5" ht="12.75">
      <c r="A47" s="51" t="s">
        <v>185</v>
      </c>
      <c r="B47" s="61">
        <v>0.0041</v>
      </c>
      <c r="C47" s="61">
        <v>0.0094</v>
      </c>
      <c r="D47" s="61">
        <v>0.0006</v>
      </c>
      <c r="E47" s="61">
        <v>0.0118</v>
      </c>
    </row>
    <row r="48" spans="1:5" ht="12.75">
      <c r="A48" s="51" t="s">
        <v>159</v>
      </c>
      <c r="B48" s="61">
        <v>0.0019</v>
      </c>
      <c r="C48" s="61">
        <v>0.0029</v>
      </c>
      <c r="D48" s="61">
        <v>0.0192</v>
      </c>
      <c r="E48" s="61">
        <v>0.0085</v>
      </c>
    </row>
    <row r="49" spans="1:5" ht="12.75">
      <c r="A49" s="51" t="s">
        <v>160</v>
      </c>
      <c r="B49" s="61">
        <v>0</v>
      </c>
      <c r="C49" s="61">
        <v>0</v>
      </c>
      <c r="D49" s="61">
        <v>0.146</v>
      </c>
      <c r="E49" s="61">
        <v>0.0079</v>
      </c>
    </row>
    <row r="50" spans="1:5" ht="12.75">
      <c r="A50" s="141"/>
      <c r="B50" s="217">
        <f>SUM(B27:B49)</f>
        <v>0.9999999999999999</v>
      </c>
      <c r="C50" s="217">
        <f>SUM(C27:C49)</f>
        <v>0.9999999999999999</v>
      </c>
      <c r="D50" s="217">
        <f>SUM(D27:D49)</f>
        <v>1</v>
      </c>
      <c r="E50" s="217">
        <f>SUM(E27:E49)</f>
        <v>1</v>
      </c>
    </row>
    <row r="51" spans="1:4" ht="33.75" customHeight="1">
      <c r="A51" s="664" t="s">
        <v>186</v>
      </c>
      <c r="B51" s="664"/>
      <c r="C51" s="664"/>
      <c r="D51" s="127"/>
    </row>
    <row r="52" spans="1:4" ht="12.75">
      <c r="A52" s="12"/>
      <c r="B52" s="127"/>
      <c r="C52" s="127"/>
      <c r="D52" s="127"/>
    </row>
    <row r="53" spans="1:4" ht="13.5" thickBot="1">
      <c r="A53" s="12"/>
      <c r="B53" s="127"/>
      <c r="C53" s="127"/>
      <c r="D53" s="127"/>
    </row>
    <row r="54" spans="1:6" ht="15.75" thickBot="1">
      <c r="A54" s="687" t="s">
        <v>80</v>
      </c>
      <c r="B54" s="123"/>
      <c r="C54" s="123"/>
      <c r="D54" s="124"/>
      <c r="F54" s="19" t="s">
        <v>24</v>
      </c>
    </row>
    <row r="55" spans="1:18" ht="15.75" thickBot="1">
      <c r="A55" s="688"/>
      <c r="B55" s="681" t="s">
        <v>30</v>
      </c>
      <c r="C55" s="682"/>
      <c r="D55" s="682"/>
      <c r="E55" s="683"/>
      <c r="F55" s="693" t="s">
        <v>41</v>
      </c>
      <c r="G55" s="694"/>
      <c r="H55" s="681" t="s">
        <v>5</v>
      </c>
      <c r="I55" s="683"/>
      <c r="J55" s="681" t="s">
        <v>8</v>
      </c>
      <c r="K55" s="682"/>
      <c r="L55" s="682"/>
      <c r="M55" s="682"/>
      <c r="N55" s="683"/>
      <c r="O55" s="681" t="s">
        <v>42</v>
      </c>
      <c r="P55" s="682"/>
      <c r="Q55" s="682"/>
      <c r="R55" s="683"/>
    </row>
    <row r="56" spans="1:18" ht="24.75" customHeight="1" thickBot="1">
      <c r="A56" s="689"/>
      <c r="B56" s="684" t="s">
        <v>49</v>
      </c>
      <c r="C56" s="685"/>
      <c r="D56" s="686"/>
      <c r="E56" s="294">
        <f>'BRA Resource Clearing Results'!C6</f>
        <v>31.46</v>
      </c>
      <c r="F56" s="298" t="s">
        <v>49</v>
      </c>
      <c r="G56" s="294">
        <f>'BRA Resource Clearing Results'!C7</f>
        <v>0</v>
      </c>
      <c r="H56" s="298" t="s">
        <v>49</v>
      </c>
      <c r="I56" s="294">
        <f>'BRA Resource Clearing Results'!C8</f>
        <v>0</v>
      </c>
      <c r="J56" s="684" t="s">
        <v>49</v>
      </c>
      <c r="K56" s="685"/>
      <c r="L56" s="685"/>
      <c r="M56" s="686"/>
      <c r="N56" s="294">
        <f>'BRA Resource Clearing Results'!C9</f>
        <v>0</v>
      </c>
      <c r="O56" s="684" t="s">
        <v>49</v>
      </c>
      <c r="P56" s="685"/>
      <c r="Q56" s="686"/>
      <c r="R56" s="294">
        <f>'BRA Resource Clearing Results'!C10</f>
        <v>0</v>
      </c>
    </row>
    <row r="57" spans="1:18" ht="79.5" customHeight="1">
      <c r="A57" s="292" t="s">
        <v>78</v>
      </c>
      <c r="B57" s="295" t="s">
        <v>170</v>
      </c>
      <c r="C57" s="216" t="s">
        <v>171</v>
      </c>
      <c r="D57" s="223" t="s">
        <v>79</v>
      </c>
      <c r="E57" s="225" t="s">
        <v>97</v>
      </c>
      <c r="F57" s="295" t="s">
        <v>170</v>
      </c>
      <c r="G57" s="225" t="s">
        <v>97</v>
      </c>
      <c r="H57" s="299" t="s">
        <v>171</v>
      </c>
      <c r="I57" s="225" t="s">
        <v>97</v>
      </c>
      <c r="J57" s="295" t="s">
        <v>170</v>
      </c>
      <c r="K57" s="216" t="s">
        <v>172</v>
      </c>
      <c r="L57" s="216" t="s">
        <v>173</v>
      </c>
      <c r="M57" s="223" t="s">
        <v>79</v>
      </c>
      <c r="N57" s="225" t="s">
        <v>97</v>
      </c>
      <c r="O57" s="295" t="s">
        <v>170</v>
      </c>
      <c r="P57" s="216" t="s">
        <v>172</v>
      </c>
      <c r="Q57" s="223" t="s">
        <v>79</v>
      </c>
      <c r="R57" s="225" t="s">
        <v>97</v>
      </c>
    </row>
    <row r="58" spans="1:18" ht="12.75">
      <c r="A58" s="293" t="s">
        <v>16</v>
      </c>
      <c r="B58" s="257">
        <f aca="true" t="shared" si="0" ref="B58:B80">B27*$B$11</f>
        <v>7.0089</v>
      </c>
      <c r="C58" s="59">
        <f aca="true" t="shared" si="1" ref="C58:C80">C27*$B$13</f>
        <v>1.4336</v>
      </c>
      <c r="D58" s="59">
        <f>B58+C58</f>
        <v>8.442499999999999</v>
      </c>
      <c r="E58" s="113">
        <f>D58*$E$56</f>
        <v>265.60105</v>
      </c>
      <c r="F58" s="257">
        <f aca="true" t="shared" si="2" ref="F58:F80">B27*$C$11</f>
        <v>16.4334</v>
      </c>
      <c r="G58" s="226">
        <f>F58*$G$56</f>
        <v>0</v>
      </c>
      <c r="H58" s="257">
        <f aca="true" t="shared" si="3" ref="H58:H80">C27*$D$13</f>
        <v>21.2352</v>
      </c>
      <c r="I58" s="226">
        <f>H58*$I$56</f>
        <v>0</v>
      </c>
      <c r="J58" s="257">
        <f aca="true" t="shared" si="4" ref="J58:J80">B27*$E$11</f>
        <v>1.2608700000000002</v>
      </c>
      <c r="K58" s="59">
        <f aca="true" t="shared" si="5" ref="K58:K80">D27*$E$14</f>
        <v>0.7144199999999999</v>
      </c>
      <c r="L58" s="59">
        <f aca="true" t="shared" si="6" ref="L58:L80">E27*$E$15</f>
        <v>0</v>
      </c>
      <c r="M58" s="59">
        <f>J58+K58+L58</f>
        <v>1.9752900000000002</v>
      </c>
      <c r="N58" s="113">
        <f>M58*$N$56</f>
        <v>0</v>
      </c>
      <c r="O58" s="257">
        <f aca="true" t="shared" si="7" ref="O58:O80">B27*$F$11</f>
        <v>1.93065</v>
      </c>
      <c r="P58" s="59">
        <f aca="true" t="shared" si="8" ref="P58:P80">D27*$F$14</f>
        <v>1.0384499999999999</v>
      </c>
      <c r="Q58" s="59">
        <f aca="true" t="shared" si="9" ref="Q58:Q63">O58+P58</f>
        <v>2.9691</v>
      </c>
      <c r="R58" s="113">
        <f>Q58*$R$56</f>
        <v>0</v>
      </c>
    </row>
    <row r="59" spans="1:18" ht="12.75">
      <c r="A59" s="293" t="s">
        <v>32</v>
      </c>
      <c r="B59" s="257">
        <f t="shared" si="0"/>
        <v>57.9096</v>
      </c>
      <c r="C59" s="59">
        <f t="shared" si="1"/>
        <v>0</v>
      </c>
      <c r="D59" s="59">
        <f>B59+C59</f>
        <v>57.9096</v>
      </c>
      <c r="E59" s="113">
        <f>D59*$E$56</f>
        <v>1821.836016</v>
      </c>
      <c r="F59" s="257">
        <f t="shared" si="2"/>
        <v>135.7776</v>
      </c>
      <c r="G59" s="226">
        <f aca="true" t="shared" si="10" ref="G59:G80">F59*$G$56</f>
        <v>0</v>
      </c>
      <c r="H59" s="257">
        <f t="shared" si="3"/>
        <v>0</v>
      </c>
      <c r="I59" s="226">
        <f aca="true" t="shared" si="11" ref="I59:I80">H59*$I$56</f>
        <v>0</v>
      </c>
      <c r="J59" s="257">
        <f t="shared" si="4"/>
        <v>10.41768</v>
      </c>
      <c r="K59" s="59">
        <f t="shared" si="5"/>
        <v>0</v>
      </c>
      <c r="L59" s="59">
        <f t="shared" si="6"/>
        <v>0</v>
      </c>
      <c r="M59" s="59">
        <f aca="true" t="shared" si="12" ref="M59:M80">J59+K59+L59</f>
        <v>10.41768</v>
      </c>
      <c r="N59" s="113">
        <f aca="true" t="shared" si="13" ref="N59:N80">M59*$N$56</f>
        <v>0</v>
      </c>
      <c r="O59" s="257">
        <f t="shared" si="7"/>
        <v>15.951600000000001</v>
      </c>
      <c r="P59" s="59">
        <f t="shared" si="8"/>
        <v>0</v>
      </c>
      <c r="Q59" s="59">
        <f t="shared" si="9"/>
        <v>15.951600000000001</v>
      </c>
      <c r="R59" s="113">
        <f aca="true" t="shared" si="14" ref="R59:R80">Q59*$R$56</f>
        <v>0</v>
      </c>
    </row>
    <row r="60" spans="1:18" ht="12.75">
      <c r="A60" s="293" t="s">
        <v>19</v>
      </c>
      <c r="B60" s="257">
        <f t="shared" si="0"/>
        <v>21.1799</v>
      </c>
      <c r="C60" s="59">
        <f t="shared" si="1"/>
        <v>0</v>
      </c>
      <c r="D60" s="59">
        <f>B60+C60</f>
        <v>21.1799</v>
      </c>
      <c r="E60" s="113">
        <f aca="true" t="shared" si="15" ref="E60:E79">D60*$E$56</f>
        <v>666.319654</v>
      </c>
      <c r="F60" s="257">
        <f t="shared" si="2"/>
        <v>49.659400000000005</v>
      </c>
      <c r="G60" s="226">
        <f t="shared" si="10"/>
        <v>0</v>
      </c>
      <c r="H60" s="257">
        <f t="shared" si="3"/>
        <v>0</v>
      </c>
      <c r="I60" s="226">
        <f t="shared" si="11"/>
        <v>0</v>
      </c>
      <c r="J60" s="257">
        <f t="shared" si="4"/>
        <v>3.8101700000000003</v>
      </c>
      <c r="K60" s="59">
        <f t="shared" si="5"/>
        <v>0</v>
      </c>
      <c r="L60" s="59">
        <f t="shared" si="6"/>
        <v>0</v>
      </c>
      <c r="M60" s="59">
        <f t="shared" si="12"/>
        <v>3.8101700000000003</v>
      </c>
      <c r="N60" s="113">
        <f t="shared" si="13"/>
        <v>0</v>
      </c>
      <c r="O60" s="257">
        <f t="shared" si="7"/>
        <v>5.83415</v>
      </c>
      <c r="P60" s="59">
        <f t="shared" si="8"/>
        <v>0</v>
      </c>
      <c r="Q60" s="59">
        <f t="shared" si="9"/>
        <v>5.83415</v>
      </c>
      <c r="R60" s="113">
        <f t="shared" si="14"/>
        <v>0</v>
      </c>
    </row>
    <row r="61" spans="1:18" ht="12.75">
      <c r="A61" s="293" t="s">
        <v>51</v>
      </c>
      <c r="B61" s="257">
        <f t="shared" si="0"/>
        <v>33.1295</v>
      </c>
      <c r="C61" s="59">
        <f t="shared" si="1"/>
        <v>0</v>
      </c>
      <c r="D61" s="59">
        <f aca="true" t="shared" si="16" ref="D61:D79">B61+C61</f>
        <v>33.1295</v>
      </c>
      <c r="E61" s="113">
        <f t="shared" si="15"/>
        <v>1042.25407</v>
      </c>
      <c r="F61" s="257">
        <f t="shared" si="2"/>
        <v>77.67699999999999</v>
      </c>
      <c r="G61" s="226">
        <f t="shared" si="10"/>
        <v>0</v>
      </c>
      <c r="H61" s="257">
        <f t="shared" si="3"/>
        <v>0</v>
      </c>
      <c r="I61" s="226">
        <f t="shared" si="11"/>
        <v>0</v>
      </c>
      <c r="J61" s="257">
        <f t="shared" si="4"/>
        <v>5.95985</v>
      </c>
      <c r="K61" s="59">
        <f t="shared" si="5"/>
        <v>0</v>
      </c>
      <c r="L61" s="59">
        <f t="shared" si="6"/>
        <v>0</v>
      </c>
      <c r="M61" s="59">
        <f t="shared" si="12"/>
        <v>5.95985</v>
      </c>
      <c r="N61" s="113">
        <f t="shared" si="13"/>
        <v>0</v>
      </c>
      <c r="O61" s="257">
        <f t="shared" si="7"/>
        <v>9.12575</v>
      </c>
      <c r="P61" s="59">
        <f t="shared" si="8"/>
        <v>0</v>
      </c>
      <c r="Q61" s="59">
        <f t="shared" si="9"/>
        <v>9.12575</v>
      </c>
      <c r="R61" s="113">
        <f t="shared" si="14"/>
        <v>0</v>
      </c>
    </row>
    <row r="62" spans="1:18" ht="12.75">
      <c r="A62" s="293" t="s">
        <v>11</v>
      </c>
      <c r="B62" s="257">
        <f t="shared" si="0"/>
        <v>17.0818</v>
      </c>
      <c r="C62" s="59">
        <f t="shared" si="1"/>
        <v>0</v>
      </c>
      <c r="D62" s="59">
        <f t="shared" si="16"/>
        <v>17.0818</v>
      </c>
      <c r="E62" s="113">
        <f t="shared" si="15"/>
        <v>537.3934280000001</v>
      </c>
      <c r="F62" s="257">
        <f t="shared" si="2"/>
        <v>40.0508</v>
      </c>
      <c r="G62" s="226">
        <f t="shared" si="10"/>
        <v>0</v>
      </c>
      <c r="H62" s="257">
        <f t="shared" si="3"/>
        <v>0</v>
      </c>
      <c r="I62" s="226">
        <f t="shared" si="11"/>
        <v>0</v>
      </c>
      <c r="J62" s="257">
        <f t="shared" si="4"/>
        <v>3.0729400000000004</v>
      </c>
      <c r="K62" s="59">
        <f t="shared" si="5"/>
        <v>2.99376</v>
      </c>
      <c r="L62" s="59">
        <f t="shared" si="6"/>
        <v>0</v>
      </c>
      <c r="M62" s="59">
        <f t="shared" si="12"/>
        <v>6.066700000000001</v>
      </c>
      <c r="N62" s="113">
        <f t="shared" si="13"/>
        <v>0</v>
      </c>
      <c r="O62" s="257">
        <f t="shared" si="7"/>
        <v>4.7053</v>
      </c>
      <c r="P62" s="59">
        <f t="shared" si="8"/>
        <v>4.3516</v>
      </c>
      <c r="Q62" s="59">
        <f t="shared" si="9"/>
        <v>9.0569</v>
      </c>
      <c r="R62" s="113">
        <f t="shared" si="14"/>
        <v>0</v>
      </c>
    </row>
    <row r="63" spans="1:18" ht="12.75">
      <c r="A63" s="293" t="s">
        <v>20</v>
      </c>
      <c r="B63" s="257">
        <f t="shared" si="0"/>
        <v>56.0712</v>
      </c>
      <c r="C63" s="59">
        <f t="shared" si="1"/>
        <v>0</v>
      </c>
      <c r="D63" s="59">
        <f t="shared" si="16"/>
        <v>56.0712</v>
      </c>
      <c r="E63" s="113">
        <f t="shared" si="15"/>
        <v>1763.999952</v>
      </c>
      <c r="F63" s="257">
        <f t="shared" si="2"/>
        <v>131.4672</v>
      </c>
      <c r="G63" s="226">
        <f t="shared" si="10"/>
        <v>0</v>
      </c>
      <c r="H63" s="257">
        <f t="shared" si="3"/>
        <v>0</v>
      </c>
      <c r="I63" s="226">
        <f t="shared" si="11"/>
        <v>0</v>
      </c>
      <c r="J63" s="257">
        <f t="shared" si="4"/>
        <v>10.086960000000001</v>
      </c>
      <c r="K63" s="59">
        <f t="shared" si="5"/>
        <v>7.17822</v>
      </c>
      <c r="L63" s="59">
        <f t="shared" si="6"/>
        <v>0</v>
      </c>
      <c r="M63" s="59">
        <f t="shared" si="12"/>
        <v>17.26518</v>
      </c>
      <c r="N63" s="113">
        <f t="shared" si="13"/>
        <v>0</v>
      </c>
      <c r="O63" s="257">
        <f t="shared" si="7"/>
        <v>15.4452</v>
      </c>
      <c r="P63" s="59">
        <f t="shared" si="8"/>
        <v>10.433950000000001</v>
      </c>
      <c r="Q63" s="59">
        <f t="shared" si="9"/>
        <v>25.879150000000003</v>
      </c>
      <c r="R63" s="113">
        <f t="shared" si="14"/>
        <v>0</v>
      </c>
    </row>
    <row r="64" spans="1:18" ht="12.75">
      <c r="A64" s="293" t="s">
        <v>21</v>
      </c>
      <c r="B64" s="257">
        <f t="shared" si="0"/>
        <v>8.464300000000001</v>
      </c>
      <c r="C64" s="59">
        <f t="shared" si="1"/>
        <v>0</v>
      </c>
      <c r="D64" s="59">
        <f t="shared" si="16"/>
        <v>8.464300000000001</v>
      </c>
      <c r="E64" s="113">
        <f t="shared" si="15"/>
        <v>266.28687800000006</v>
      </c>
      <c r="F64" s="257">
        <f t="shared" si="2"/>
        <v>19.8458</v>
      </c>
      <c r="G64" s="226">
        <f t="shared" si="10"/>
        <v>0</v>
      </c>
      <c r="H64" s="257">
        <f t="shared" si="3"/>
        <v>0</v>
      </c>
      <c r="I64" s="226">
        <f t="shared" si="11"/>
        <v>0</v>
      </c>
      <c r="J64" s="257">
        <f t="shared" si="4"/>
        <v>1.5226900000000003</v>
      </c>
      <c r="K64" s="59">
        <f t="shared" si="5"/>
        <v>0.40823999999999994</v>
      </c>
      <c r="L64" s="59">
        <f t="shared" si="6"/>
        <v>0</v>
      </c>
      <c r="M64" s="59">
        <f t="shared" si="12"/>
        <v>1.9309300000000003</v>
      </c>
      <c r="N64" s="113">
        <f t="shared" si="13"/>
        <v>0</v>
      </c>
      <c r="O64" s="257">
        <f t="shared" si="7"/>
        <v>2.33155</v>
      </c>
      <c r="P64" s="59">
        <f t="shared" si="8"/>
        <v>0.5933999999999999</v>
      </c>
      <c r="Q64" s="59">
        <f aca="true" t="shared" si="17" ref="Q64:Q79">O64+P64</f>
        <v>2.92495</v>
      </c>
      <c r="R64" s="113">
        <f t="shared" si="14"/>
        <v>0</v>
      </c>
    </row>
    <row r="65" spans="1:18" ht="12.75">
      <c r="A65" s="293" t="s">
        <v>66</v>
      </c>
      <c r="B65" s="257">
        <f t="shared" si="0"/>
        <v>0</v>
      </c>
      <c r="C65" s="59">
        <f t="shared" si="1"/>
        <v>0</v>
      </c>
      <c r="D65" s="59">
        <f t="shared" si="16"/>
        <v>0</v>
      </c>
      <c r="E65" s="113">
        <f t="shared" si="15"/>
        <v>0</v>
      </c>
      <c r="F65" s="257">
        <f t="shared" si="2"/>
        <v>0</v>
      </c>
      <c r="G65" s="226">
        <f t="shared" si="10"/>
        <v>0</v>
      </c>
      <c r="H65" s="257">
        <f t="shared" si="3"/>
        <v>0</v>
      </c>
      <c r="I65" s="226">
        <f t="shared" si="11"/>
        <v>0</v>
      </c>
      <c r="J65" s="257">
        <f t="shared" si="4"/>
        <v>0</v>
      </c>
      <c r="K65" s="59">
        <f t="shared" si="5"/>
        <v>0</v>
      </c>
      <c r="L65" s="59">
        <f t="shared" si="6"/>
        <v>0</v>
      </c>
      <c r="M65" s="59">
        <f t="shared" si="12"/>
        <v>0</v>
      </c>
      <c r="N65" s="113">
        <f t="shared" si="13"/>
        <v>0</v>
      </c>
      <c r="O65" s="257">
        <f t="shared" si="7"/>
        <v>0</v>
      </c>
      <c r="P65" s="59">
        <f t="shared" si="8"/>
        <v>0</v>
      </c>
      <c r="Q65" s="59">
        <f t="shared" si="17"/>
        <v>0</v>
      </c>
      <c r="R65" s="113">
        <f t="shared" si="14"/>
        <v>0</v>
      </c>
    </row>
    <row r="66" spans="1:18" ht="12.75">
      <c r="A66" s="293" t="s">
        <v>50</v>
      </c>
      <c r="B66" s="257">
        <f t="shared" si="0"/>
        <v>7.0855</v>
      </c>
      <c r="C66" s="59">
        <f t="shared" si="1"/>
        <v>0</v>
      </c>
      <c r="D66" s="59">
        <f t="shared" si="16"/>
        <v>7.0855</v>
      </c>
      <c r="E66" s="113">
        <f t="shared" si="15"/>
        <v>222.90983</v>
      </c>
      <c r="F66" s="257">
        <f t="shared" si="2"/>
        <v>16.613</v>
      </c>
      <c r="G66" s="226">
        <f t="shared" si="10"/>
        <v>0</v>
      </c>
      <c r="H66" s="257">
        <f t="shared" si="3"/>
        <v>0</v>
      </c>
      <c r="I66" s="226">
        <f t="shared" si="11"/>
        <v>0</v>
      </c>
      <c r="J66" s="257">
        <f t="shared" si="4"/>
        <v>1.27465</v>
      </c>
      <c r="K66" s="59">
        <f t="shared" si="5"/>
        <v>0</v>
      </c>
      <c r="L66" s="59">
        <f t="shared" si="6"/>
        <v>0</v>
      </c>
      <c r="M66" s="59">
        <f t="shared" si="12"/>
        <v>1.27465</v>
      </c>
      <c r="N66" s="113">
        <f t="shared" si="13"/>
        <v>0</v>
      </c>
      <c r="O66" s="257">
        <f t="shared" si="7"/>
        <v>1.9517499999999999</v>
      </c>
      <c r="P66" s="59">
        <f t="shared" si="8"/>
        <v>0</v>
      </c>
      <c r="Q66" s="59">
        <f t="shared" si="17"/>
        <v>1.9517499999999999</v>
      </c>
      <c r="R66" s="113">
        <f t="shared" si="14"/>
        <v>0</v>
      </c>
    </row>
    <row r="67" spans="1:18" ht="12.75">
      <c r="A67" s="293" t="s">
        <v>33</v>
      </c>
      <c r="B67" s="257">
        <f t="shared" si="0"/>
        <v>47.4154</v>
      </c>
      <c r="C67" s="59">
        <f t="shared" si="1"/>
        <v>0</v>
      </c>
      <c r="D67" s="59">
        <f t="shared" si="16"/>
        <v>47.4154</v>
      </c>
      <c r="E67" s="113">
        <f t="shared" si="15"/>
        <v>1491.688484</v>
      </c>
      <c r="F67" s="257">
        <f t="shared" si="2"/>
        <v>111.1724</v>
      </c>
      <c r="G67" s="226">
        <f t="shared" si="10"/>
        <v>0</v>
      </c>
      <c r="H67" s="257">
        <f t="shared" si="3"/>
        <v>0</v>
      </c>
      <c r="I67" s="226">
        <f t="shared" si="11"/>
        <v>0</v>
      </c>
      <c r="J67" s="257">
        <f t="shared" si="4"/>
        <v>8.52982</v>
      </c>
      <c r="K67" s="59">
        <f t="shared" si="5"/>
        <v>0</v>
      </c>
      <c r="L67" s="59">
        <f t="shared" si="6"/>
        <v>0</v>
      </c>
      <c r="M67" s="59">
        <f t="shared" si="12"/>
        <v>8.52982</v>
      </c>
      <c r="N67" s="113">
        <f t="shared" si="13"/>
        <v>0</v>
      </c>
      <c r="O67" s="257">
        <f t="shared" si="7"/>
        <v>13.0609</v>
      </c>
      <c r="P67" s="59">
        <f t="shared" si="8"/>
        <v>0</v>
      </c>
      <c r="Q67" s="59">
        <f t="shared" si="17"/>
        <v>13.0609</v>
      </c>
      <c r="R67" s="113">
        <f t="shared" si="14"/>
        <v>0</v>
      </c>
    </row>
    <row r="68" spans="1:18" ht="12.75">
      <c r="A68" s="293" t="s">
        <v>17</v>
      </c>
      <c r="B68" s="257">
        <f t="shared" si="0"/>
        <v>9.996300000000002</v>
      </c>
      <c r="C68" s="59">
        <f t="shared" si="1"/>
        <v>2.6832</v>
      </c>
      <c r="D68" s="59">
        <f t="shared" si="16"/>
        <v>12.6795</v>
      </c>
      <c r="E68" s="113">
        <f t="shared" si="15"/>
        <v>398.89707000000004</v>
      </c>
      <c r="F68" s="257">
        <f t="shared" si="2"/>
        <v>23.437800000000003</v>
      </c>
      <c r="G68" s="226">
        <f t="shared" si="10"/>
        <v>0</v>
      </c>
      <c r="H68" s="257">
        <f t="shared" si="3"/>
        <v>39.744899999999994</v>
      </c>
      <c r="I68" s="226">
        <f t="shared" si="11"/>
        <v>0</v>
      </c>
      <c r="J68" s="257">
        <f t="shared" si="4"/>
        <v>1.7982900000000002</v>
      </c>
      <c r="K68" s="59">
        <f t="shared" si="5"/>
        <v>0</v>
      </c>
      <c r="L68" s="59">
        <f t="shared" si="6"/>
        <v>0</v>
      </c>
      <c r="M68" s="59">
        <f t="shared" si="12"/>
        <v>1.7982900000000002</v>
      </c>
      <c r="N68" s="113">
        <f t="shared" si="13"/>
        <v>0</v>
      </c>
      <c r="O68" s="257">
        <f t="shared" si="7"/>
        <v>2.75355</v>
      </c>
      <c r="P68" s="59">
        <f t="shared" si="8"/>
        <v>0</v>
      </c>
      <c r="Q68" s="59">
        <f t="shared" si="17"/>
        <v>2.75355</v>
      </c>
      <c r="R68" s="113">
        <f t="shared" si="14"/>
        <v>0</v>
      </c>
    </row>
    <row r="69" spans="1:18" ht="12.75">
      <c r="A69" s="293" t="s">
        <v>12</v>
      </c>
      <c r="B69" s="257">
        <f t="shared" si="0"/>
        <v>15.5881</v>
      </c>
      <c r="C69" s="59">
        <f t="shared" si="1"/>
        <v>1.5344</v>
      </c>
      <c r="D69" s="59">
        <f t="shared" si="16"/>
        <v>17.122500000000002</v>
      </c>
      <c r="E69" s="113">
        <f t="shared" si="15"/>
        <v>538.6738500000001</v>
      </c>
      <c r="F69" s="257">
        <f t="shared" si="2"/>
        <v>36.5486</v>
      </c>
      <c r="G69" s="226">
        <f t="shared" si="10"/>
        <v>0</v>
      </c>
      <c r="H69" s="257">
        <f t="shared" si="3"/>
        <v>22.7283</v>
      </c>
      <c r="I69" s="226">
        <f t="shared" si="11"/>
        <v>0</v>
      </c>
      <c r="J69" s="257">
        <f t="shared" si="4"/>
        <v>2.8042300000000004</v>
      </c>
      <c r="K69" s="59">
        <f t="shared" si="5"/>
        <v>3.6061199999999998</v>
      </c>
      <c r="L69" s="59">
        <f t="shared" si="6"/>
        <v>11.57646</v>
      </c>
      <c r="M69" s="59">
        <f t="shared" si="12"/>
        <v>17.986810000000002</v>
      </c>
      <c r="N69" s="113">
        <f t="shared" si="13"/>
        <v>0</v>
      </c>
      <c r="O69" s="257">
        <f t="shared" si="7"/>
        <v>4.29385</v>
      </c>
      <c r="P69" s="59">
        <f t="shared" si="8"/>
        <v>5.2417</v>
      </c>
      <c r="Q69" s="59">
        <f t="shared" si="17"/>
        <v>9.53555</v>
      </c>
      <c r="R69" s="113">
        <f t="shared" si="14"/>
        <v>0</v>
      </c>
    </row>
    <row r="70" spans="1:18" ht="12.75">
      <c r="A70" s="293" t="s">
        <v>13</v>
      </c>
      <c r="B70" s="257">
        <f t="shared" si="0"/>
        <v>7.353599999999999</v>
      </c>
      <c r="C70" s="59">
        <f t="shared" si="1"/>
        <v>0.2352</v>
      </c>
      <c r="D70" s="59">
        <f t="shared" si="16"/>
        <v>7.588799999999999</v>
      </c>
      <c r="E70" s="113">
        <f t="shared" si="15"/>
        <v>238.74364799999998</v>
      </c>
      <c r="F70" s="257">
        <f t="shared" si="2"/>
        <v>17.2416</v>
      </c>
      <c r="G70" s="226">
        <f t="shared" si="10"/>
        <v>0</v>
      </c>
      <c r="H70" s="257">
        <f t="shared" si="3"/>
        <v>3.4838999999999998</v>
      </c>
      <c r="I70" s="226">
        <f t="shared" si="11"/>
        <v>0</v>
      </c>
      <c r="J70" s="257">
        <f t="shared" si="4"/>
        <v>1.32288</v>
      </c>
      <c r="K70" s="59">
        <f t="shared" si="5"/>
        <v>0</v>
      </c>
      <c r="L70" s="59">
        <f t="shared" si="6"/>
        <v>0</v>
      </c>
      <c r="M70" s="59">
        <f t="shared" si="12"/>
        <v>1.32288</v>
      </c>
      <c r="N70" s="113">
        <f t="shared" si="13"/>
        <v>0</v>
      </c>
      <c r="O70" s="257">
        <f t="shared" si="7"/>
        <v>2.0256</v>
      </c>
      <c r="P70" s="59">
        <f t="shared" si="8"/>
        <v>0</v>
      </c>
      <c r="Q70" s="59">
        <f t="shared" si="17"/>
        <v>2.0256</v>
      </c>
      <c r="R70" s="113">
        <f t="shared" si="14"/>
        <v>0</v>
      </c>
    </row>
    <row r="71" spans="1:18" ht="12.75">
      <c r="A71" s="293" t="s">
        <v>9</v>
      </c>
      <c r="B71" s="257">
        <f t="shared" si="0"/>
        <v>21.2182</v>
      </c>
      <c r="C71" s="59">
        <f t="shared" si="1"/>
        <v>4.9024</v>
      </c>
      <c r="D71" s="59">
        <f t="shared" si="16"/>
        <v>26.1206</v>
      </c>
      <c r="E71" s="113">
        <f t="shared" si="15"/>
        <v>821.754076</v>
      </c>
      <c r="F71" s="257">
        <f t="shared" si="2"/>
        <v>49.749199999999995</v>
      </c>
      <c r="G71" s="226">
        <f t="shared" si="10"/>
        <v>0</v>
      </c>
      <c r="H71" s="257">
        <f t="shared" si="3"/>
        <v>72.6168</v>
      </c>
      <c r="I71" s="226">
        <f t="shared" si="11"/>
        <v>0</v>
      </c>
      <c r="J71" s="257">
        <f t="shared" si="4"/>
        <v>3.81706</v>
      </c>
      <c r="K71" s="59">
        <f t="shared" si="5"/>
        <v>0</v>
      </c>
      <c r="L71" s="59">
        <f t="shared" si="6"/>
        <v>46.12524</v>
      </c>
      <c r="M71" s="59">
        <f t="shared" si="12"/>
        <v>49.942299999999996</v>
      </c>
      <c r="N71" s="113">
        <f t="shared" si="13"/>
        <v>0</v>
      </c>
      <c r="O71" s="257">
        <f t="shared" si="7"/>
        <v>5.8447</v>
      </c>
      <c r="P71" s="59">
        <f t="shared" si="8"/>
        <v>0</v>
      </c>
      <c r="Q71" s="59">
        <f t="shared" si="17"/>
        <v>5.8447</v>
      </c>
      <c r="R71" s="113">
        <f t="shared" si="14"/>
        <v>0</v>
      </c>
    </row>
    <row r="72" spans="1:18" ht="12.75">
      <c r="A72" s="293" t="s">
        <v>14</v>
      </c>
      <c r="B72" s="257">
        <f t="shared" si="0"/>
        <v>7.391900000000001</v>
      </c>
      <c r="C72" s="59">
        <f t="shared" si="1"/>
        <v>0</v>
      </c>
      <c r="D72" s="59">
        <f t="shared" si="16"/>
        <v>7.391900000000001</v>
      </c>
      <c r="E72" s="113">
        <f t="shared" si="15"/>
        <v>232.54917400000002</v>
      </c>
      <c r="F72" s="257">
        <f t="shared" si="2"/>
        <v>17.331400000000002</v>
      </c>
      <c r="G72" s="226">
        <f t="shared" si="10"/>
        <v>0</v>
      </c>
      <c r="H72" s="257">
        <f t="shared" si="3"/>
        <v>0</v>
      </c>
      <c r="I72" s="226">
        <f t="shared" si="11"/>
        <v>0</v>
      </c>
      <c r="J72" s="257">
        <f t="shared" si="4"/>
        <v>1.3297700000000001</v>
      </c>
      <c r="K72" s="59">
        <f t="shared" si="5"/>
        <v>9.1854</v>
      </c>
      <c r="L72" s="59">
        <f t="shared" si="6"/>
        <v>0</v>
      </c>
      <c r="M72" s="59">
        <f t="shared" si="12"/>
        <v>10.51517</v>
      </c>
      <c r="N72" s="113">
        <f t="shared" si="13"/>
        <v>0</v>
      </c>
      <c r="O72" s="257">
        <f t="shared" si="7"/>
        <v>2.03615</v>
      </c>
      <c r="P72" s="59">
        <f t="shared" si="8"/>
        <v>13.3515</v>
      </c>
      <c r="Q72" s="59">
        <f t="shared" si="17"/>
        <v>15.38765</v>
      </c>
      <c r="R72" s="113">
        <f t="shared" si="14"/>
        <v>0</v>
      </c>
    </row>
    <row r="73" spans="1:18" ht="12.75">
      <c r="A73" s="293" t="s">
        <v>15</v>
      </c>
      <c r="B73" s="257">
        <f t="shared" si="0"/>
        <v>16.5839</v>
      </c>
      <c r="C73" s="59">
        <f t="shared" si="1"/>
        <v>0</v>
      </c>
      <c r="D73" s="59">
        <f t="shared" si="16"/>
        <v>16.5839</v>
      </c>
      <c r="E73" s="113">
        <f t="shared" si="15"/>
        <v>521.729494</v>
      </c>
      <c r="F73" s="257">
        <f t="shared" si="2"/>
        <v>38.8834</v>
      </c>
      <c r="G73" s="226">
        <f t="shared" si="10"/>
        <v>0</v>
      </c>
      <c r="H73" s="257">
        <f t="shared" si="3"/>
        <v>0</v>
      </c>
      <c r="I73" s="226">
        <f t="shared" si="11"/>
        <v>0</v>
      </c>
      <c r="J73" s="257">
        <f t="shared" si="4"/>
        <v>2.9833700000000003</v>
      </c>
      <c r="K73" s="59">
        <f t="shared" si="5"/>
        <v>3.2319</v>
      </c>
      <c r="L73" s="59">
        <f t="shared" si="6"/>
        <v>0.51471</v>
      </c>
      <c r="M73" s="59">
        <f t="shared" si="12"/>
        <v>6.72998</v>
      </c>
      <c r="N73" s="113">
        <f t="shared" si="13"/>
        <v>0</v>
      </c>
      <c r="O73" s="257">
        <f t="shared" si="7"/>
        <v>4.56815</v>
      </c>
      <c r="P73" s="59">
        <f t="shared" si="8"/>
        <v>4.69775</v>
      </c>
      <c r="Q73" s="59">
        <f t="shared" si="17"/>
        <v>9.2659</v>
      </c>
      <c r="R73" s="113">
        <f t="shared" si="14"/>
        <v>0</v>
      </c>
    </row>
    <row r="74" spans="1:18" ht="12.75">
      <c r="A74" s="293" t="s">
        <v>10</v>
      </c>
      <c r="B74" s="257">
        <f t="shared" si="0"/>
        <v>18.269099999999998</v>
      </c>
      <c r="C74" s="59">
        <f t="shared" si="1"/>
        <v>2.6128</v>
      </c>
      <c r="D74" s="59">
        <f t="shared" si="16"/>
        <v>20.881899999999998</v>
      </c>
      <c r="E74" s="113">
        <f t="shared" si="15"/>
        <v>656.944574</v>
      </c>
      <c r="F74" s="257">
        <f t="shared" si="2"/>
        <v>42.8346</v>
      </c>
      <c r="G74" s="226">
        <f t="shared" si="10"/>
        <v>0</v>
      </c>
      <c r="H74" s="257">
        <f t="shared" si="3"/>
        <v>38.7021</v>
      </c>
      <c r="I74" s="226">
        <f t="shared" si="11"/>
        <v>0</v>
      </c>
      <c r="J74" s="257">
        <f t="shared" si="4"/>
        <v>3.2865300000000004</v>
      </c>
      <c r="K74" s="59">
        <f t="shared" si="5"/>
        <v>0</v>
      </c>
      <c r="L74" s="59">
        <f t="shared" si="6"/>
        <v>0</v>
      </c>
      <c r="M74" s="59">
        <f t="shared" si="12"/>
        <v>3.2865300000000004</v>
      </c>
      <c r="N74" s="113">
        <f t="shared" si="13"/>
        <v>0</v>
      </c>
      <c r="O74" s="257">
        <f t="shared" si="7"/>
        <v>5.03235</v>
      </c>
      <c r="P74" s="59">
        <f t="shared" si="8"/>
        <v>0</v>
      </c>
      <c r="Q74" s="59">
        <f t="shared" si="17"/>
        <v>5.03235</v>
      </c>
      <c r="R74" s="113">
        <f t="shared" si="14"/>
        <v>0</v>
      </c>
    </row>
    <row r="75" spans="1:18" ht="12.75">
      <c r="A75" s="293" t="s">
        <v>8</v>
      </c>
      <c r="B75" s="257">
        <f t="shared" si="0"/>
        <v>25.8142</v>
      </c>
      <c r="C75" s="59">
        <f t="shared" si="1"/>
        <v>2.24</v>
      </c>
      <c r="D75" s="59">
        <f t="shared" si="16"/>
        <v>28.0542</v>
      </c>
      <c r="E75" s="113">
        <f t="shared" si="15"/>
        <v>882.585132</v>
      </c>
      <c r="F75" s="257">
        <f t="shared" si="2"/>
        <v>60.5252</v>
      </c>
      <c r="G75" s="226">
        <f t="shared" si="10"/>
        <v>0</v>
      </c>
      <c r="H75" s="257">
        <f t="shared" si="3"/>
        <v>33.18</v>
      </c>
      <c r="I75" s="226">
        <f t="shared" si="11"/>
        <v>0</v>
      </c>
      <c r="J75" s="257">
        <f t="shared" si="4"/>
        <v>4.64386</v>
      </c>
      <c r="K75" s="59">
        <f t="shared" si="5"/>
        <v>217.08162</v>
      </c>
      <c r="L75" s="59">
        <f t="shared" si="6"/>
        <v>28.408379999999998</v>
      </c>
      <c r="M75" s="59">
        <f t="shared" si="12"/>
        <v>250.13385999999997</v>
      </c>
      <c r="N75" s="113">
        <f t="shared" si="13"/>
        <v>0</v>
      </c>
      <c r="O75" s="257">
        <f t="shared" si="7"/>
        <v>7.1107000000000005</v>
      </c>
      <c r="P75" s="59">
        <f t="shared" si="8"/>
        <v>315.54045</v>
      </c>
      <c r="Q75" s="59">
        <f t="shared" si="17"/>
        <v>322.65115000000003</v>
      </c>
      <c r="R75" s="113">
        <f t="shared" si="14"/>
        <v>0</v>
      </c>
    </row>
    <row r="76" spans="1:18" ht="12.75">
      <c r="A76" s="293" t="s">
        <v>18</v>
      </c>
      <c r="B76" s="257">
        <f t="shared" si="0"/>
        <v>1.0341</v>
      </c>
      <c r="C76" s="59">
        <f t="shared" si="1"/>
        <v>0.0832</v>
      </c>
      <c r="D76" s="59">
        <f t="shared" si="16"/>
        <v>1.1173</v>
      </c>
      <c r="E76" s="113">
        <f t="shared" si="15"/>
        <v>35.150258</v>
      </c>
      <c r="F76" s="257">
        <f t="shared" si="2"/>
        <v>2.4246000000000003</v>
      </c>
      <c r="G76" s="226">
        <f t="shared" si="10"/>
        <v>0</v>
      </c>
      <c r="H76" s="257">
        <f t="shared" si="3"/>
        <v>1.2324</v>
      </c>
      <c r="I76" s="226">
        <f t="shared" si="11"/>
        <v>0</v>
      </c>
      <c r="J76" s="257">
        <f t="shared" si="4"/>
        <v>0.18603000000000003</v>
      </c>
      <c r="K76" s="59">
        <f t="shared" si="5"/>
        <v>8.607059999999999</v>
      </c>
      <c r="L76" s="59">
        <f t="shared" si="6"/>
        <v>1.12875</v>
      </c>
      <c r="M76" s="59">
        <f t="shared" si="12"/>
        <v>9.92184</v>
      </c>
      <c r="N76" s="113">
        <f t="shared" si="13"/>
        <v>0</v>
      </c>
      <c r="O76" s="257">
        <f t="shared" si="7"/>
        <v>0.28485</v>
      </c>
      <c r="P76" s="59">
        <f t="shared" si="8"/>
        <v>12.51085</v>
      </c>
      <c r="Q76" s="59">
        <f t="shared" si="17"/>
        <v>12.7957</v>
      </c>
      <c r="R76" s="113">
        <f t="shared" si="14"/>
        <v>0</v>
      </c>
    </row>
    <row r="77" spans="1:18" ht="12.75">
      <c r="A77" s="293" t="s">
        <v>184</v>
      </c>
      <c r="B77" s="257">
        <f t="shared" si="0"/>
        <v>2.1065</v>
      </c>
      <c r="C77" s="59">
        <f t="shared" si="1"/>
        <v>0.0784</v>
      </c>
      <c r="D77" s="59">
        <f>B77+C77</f>
        <v>2.1849</v>
      </c>
      <c r="E77" s="113">
        <f>D77*$E$56</f>
        <v>68.736954</v>
      </c>
      <c r="F77" s="257">
        <f t="shared" si="2"/>
        <v>4.939</v>
      </c>
      <c r="G77" s="226">
        <f>F77*$G$56</f>
        <v>0</v>
      </c>
      <c r="H77" s="257">
        <f t="shared" si="3"/>
        <v>1.1613</v>
      </c>
      <c r="I77" s="226">
        <f>H77*$I$56</f>
        <v>0</v>
      </c>
      <c r="J77" s="257">
        <f t="shared" si="4"/>
        <v>0.37895</v>
      </c>
      <c r="K77" s="59">
        <f t="shared" si="5"/>
        <v>30.788099999999996</v>
      </c>
      <c r="L77" s="59">
        <f t="shared" si="6"/>
        <v>0</v>
      </c>
      <c r="M77" s="59">
        <f>J77+K77+L77</f>
        <v>31.167049999999996</v>
      </c>
      <c r="N77" s="113">
        <f>M77*$N$56</f>
        <v>0</v>
      </c>
      <c r="O77" s="257">
        <f t="shared" si="7"/>
        <v>0.5802499999999999</v>
      </c>
      <c r="P77" s="59">
        <f t="shared" si="8"/>
        <v>44.75225</v>
      </c>
      <c r="Q77" s="59">
        <f>O77+P77</f>
        <v>45.332499999999996</v>
      </c>
      <c r="R77" s="113">
        <f>Q77*$R$56</f>
        <v>0</v>
      </c>
    </row>
    <row r="78" spans="1:18" ht="12.75">
      <c r="A78" s="293" t="s">
        <v>185</v>
      </c>
      <c r="B78" s="257">
        <f t="shared" si="0"/>
        <v>1.5703</v>
      </c>
      <c r="C78" s="59">
        <f t="shared" si="1"/>
        <v>0.1504</v>
      </c>
      <c r="D78" s="59">
        <f t="shared" si="16"/>
        <v>1.7207000000000001</v>
      </c>
      <c r="E78" s="113">
        <f t="shared" si="15"/>
        <v>54.133222</v>
      </c>
      <c r="F78" s="257">
        <f t="shared" si="2"/>
        <v>3.6818000000000004</v>
      </c>
      <c r="G78" s="226">
        <f t="shared" si="10"/>
        <v>0</v>
      </c>
      <c r="H78" s="257">
        <f t="shared" si="3"/>
        <v>2.2278000000000002</v>
      </c>
      <c r="I78" s="226">
        <f t="shared" si="11"/>
        <v>0</v>
      </c>
      <c r="J78" s="257">
        <f t="shared" si="4"/>
        <v>0.2824900000000001</v>
      </c>
      <c r="K78" s="59">
        <f t="shared" si="5"/>
        <v>0.20411999999999997</v>
      </c>
      <c r="L78" s="59">
        <f t="shared" si="6"/>
        <v>1.06554</v>
      </c>
      <c r="M78" s="59">
        <f t="shared" si="12"/>
        <v>1.55215</v>
      </c>
      <c r="N78" s="113">
        <f t="shared" si="13"/>
        <v>0</v>
      </c>
      <c r="O78" s="257">
        <f t="shared" si="7"/>
        <v>0.43255000000000005</v>
      </c>
      <c r="P78" s="59">
        <f t="shared" si="8"/>
        <v>0.29669999999999996</v>
      </c>
      <c r="Q78" s="59">
        <f t="shared" si="17"/>
        <v>0.72925</v>
      </c>
      <c r="R78" s="113">
        <f t="shared" si="14"/>
        <v>0</v>
      </c>
    </row>
    <row r="79" spans="1:18" ht="12.75">
      <c r="A79" s="293" t="s">
        <v>159</v>
      </c>
      <c r="B79" s="257">
        <f t="shared" si="0"/>
        <v>0.7277</v>
      </c>
      <c r="C79" s="59">
        <f t="shared" si="1"/>
        <v>0.0464</v>
      </c>
      <c r="D79" s="59">
        <f t="shared" si="16"/>
        <v>0.7741</v>
      </c>
      <c r="E79" s="113">
        <f t="shared" si="15"/>
        <v>24.353186</v>
      </c>
      <c r="F79" s="257">
        <f t="shared" si="2"/>
        <v>1.7062</v>
      </c>
      <c r="G79" s="226">
        <f t="shared" si="10"/>
        <v>0</v>
      </c>
      <c r="H79" s="257">
        <f t="shared" si="3"/>
        <v>0.6872999999999999</v>
      </c>
      <c r="I79" s="226">
        <f t="shared" si="11"/>
        <v>0</v>
      </c>
      <c r="J79" s="257">
        <f t="shared" si="4"/>
        <v>0.13091</v>
      </c>
      <c r="K79" s="59">
        <f t="shared" si="5"/>
        <v>6.531839999999999</v>
      </c>
      <c r="L79" s="59">
        <f t="shared" si="6"/>
        <v>0.7675500000000001</v>
      </c>
      <c r="M79" s="59">
        <f t="shared" si="12"/>
        <v>7.430299999999999</v>
      </c>
      <c r="N79" s="113">
        <f t="shared" si="13"/>
        <v>0</v>
      </c>
      <c r="O79" s="257">
        <f t="shared" si="7"/>
        <v>0.20045</v>
      </c>
      <c r="P79" s="59">
        <f t="shared" si="8"/>
        <v>9.494399999999999</v>
      </c>
      <c r="Q79" s="59">
        <f t="shared" si="17"/>
        <v>9.694849999999999</v>
      </c>
      <c r="R79" s="113">
        <f t="shared" si="14"/>
        <v>0</v>
      </c>
    </row>
    <row r="80" spans="1:18" ht="13.5" thickBot="1">
      <c r="A80" s="300" t="s">
        <v>160</v>
      </c>
      <c r="B80" s="257">
        <f t="shared" si="0"/>
        <v>0</v>
      </c>
      <c r="C80" s="59">
        <f t="shared" si="1"/>
        <v>0</v>
      </c>
      <c r="D80" s="59">
        <f>B80+C80</f>
        <v>0</v>
      </c>
      <c r="E80" s="113">
        <f>D80*$E$56</f>
        <v>0</v>
      </c>
      <c r="F80" s="257">
        <f t="shared" si="2"/>
        <v>0</v>
      </c>
      <c r="G80" s="226">
        <f t="shared" si="10"/>
        <v>0</v>
      </c>
      <c r="H80" s="257">
        <f t="shared" si="3"/>
        <v>0</v>
      </c>
      <c r="I80" s="226">
        <f t="shared" si="11"/>
        <v>0</v>
      </c>
      <c r="J80" s="257">
        <f t="shared" si="4"/>
        <v>0</v>
      </c>
      <c r="K80" s="59">
        <f t="shared" si="5"/>
        <v>49.6692</v>
      </c>
      <c r="L80" s="59">
        <f t="shared" si="6"/>
        <v>0.7133700000000001</v>
      </c>
      <c r="M80" s="59">
        <f t="shared" si="12"/>
        <v>50.382569999999994</v>
      </c>
      <c r="N80" s="113">
        <f t="shared" si="13"/>
        <v>0</v>
      </c>
      <c r="O80" s="257">
        <f t="shared" si="7"/>
        <v>0</v>
      </c>
      <c r="P80" s="59">
        <f t="shared" si="8"/>
        <v>72.19699999999999</v>
      </c>
      <c r="Q80" s="59">
        <f>O80+P80</f>
        <v>72.19699999999999</v>
      </c>
      <c r="R80" s="113">
        <f t="shared" si="14"/>
        <v>0</v>
      </c>
    </row>
    <row r="81" spans="1:18" ht="13.5" thickBot="1">
      <c r="A81" s="301" t="s">
        <v>56</v>
      </c>
      <c r="B81" s="259">
        <f>SUM(B58:B80)</f>
        <v>383.00000000000006</v>
      </c>
      <c r="C81" s="296">
        <f aca="true" t="shared" si="18" ref="C81:R81">SUM(C58:C80)</f>
        <v>15.999999999999998</v>
      </c>
      <c r="D81" s="296">
        <f t="shared" si="18"/>
        <v>399.00000000000006</v>
      </c>
      <c r="E81" s="297">
        <f t="shared" si="18"/>
        <v>12552.539999999999</v>
      </c>
      <c r="F81" s="259">
        <f t="shared" si="18"/>
        <v>898</v>
      </c>
      <c r="G81" s="297">
        <f t="shared" si="18"/>
        <v>0</v>
      </c>
      <c r="H81" s="259">
        <f t="shared" si="18"/>
        <v>237.00000000000003</v>
      </c>
      <c r="I81" s="297">
        <f t="shared" si="18"/>
        <v>0</v>
      </c>
      <c r="J81" s="259">
        <f t="shared" si="18"/>
        <v>68.9</v>
      </c>
      <c r="K81" s="296">
        <f t="shared" si="18"/>
        <v>340.19999999999993</v>
      </c>
      <c r="L81" s="296">
        <f t="shared" si="18"/>
        <v>90.3</v>
      </c>
      <c r="M81" s="296">
        <f t="shared" si="18"/>
        <v>499.4</v>
      </c>
      <c r="N81" s="297">
        <f t="shared" si="18"/>
        <v>0</v>
      </c>
      <c r="O81" s="259">
        <f t="shared" si="18"/>
        <v>105.50000000000003</v>
      </c>
      <c r="P81" s="296">
        <f t="shared" si="18"/>
        <v>494.5</v>
      </c>
      <c r="Q81" s="296">
        <f t="shared" si="18"/>
        <v>600</v>
      </c>
      <c r="R81" s="297">
        <f t="shared" si="18"/>
        <v>0</v>
      </c>
    </row>
    <row r="82" spans="1:7" ht="12.75">
      <c r="A82" s="142" t="s">
        <v>92</v>
      </c>
      <c r="B82" s="25"/>
      <c r="C82" s="25"/>
      <c r="D82" s="25"/>
      <c r="E82" s="9"/>
      <c r="F82" s="25"/>
      <c r="G82" s="9"/>
    </row>
    <row r="83" spans="1:4" ht="15">
      <c r="A83" s="55" t="s">
        <v>98</v>
      </c>
      <c r="B83" s="123"/>
      <c r="C83" s="123"/>
      <c r="D83" s="124"/>
    </row>
    <row r="84" spans="1:4" ht="15">
      <c r="A84" s="55" t="s">
        <v>101</v>
      </c>
      <c r="B84" s="123"/>
      <c r="C84" s="123"/>
      <c r="D84" s="124"/>
    </row>
    <row r="85" ht="13.5" thickBot="1"/>
    <row r="86" spans="1:2" ht="16.5" thickBot="1">
      <c r="A86" s="303" t="s">
        <v>82</v>
      </c>
      <c r="B86" s="6"/>
    </row>
    <row r="87" spans="1:4" ht="89.25">
      <c r="A87" s="302" t="s">
        <v>3</v>
      </c>
      <c r="B87" s="94" t="s">
        <v>102</v>
      </c>
      <c r="C87" s="108" t="s">
        <v>174</v>
      </c>
      <c r="D87" s="70"/>
    </row>
    <row r="88" spans="1:3" ht="12.75">
      <c r="A88" s="51" t="s">
        <v>30</v>
      </c>
      <c r="B88" s="129">
        <f>B19*E56</f>
        <v>5002.14</v>
      </c>
      <c r="C88" s="132">
        <f>(B11+B16)*E56</f>
        <v>12552.54</v>
      </c>
    </row>
    <row r="89" spans="1:3" ht="12.75">
      <c r="A89" s="51" t="s">
        <v>41</v>
      </c>
      <c r="B89" s="129">
        <f>C19*G56</f>
        <v>0</v>
      </c>
      <c r="C89" s="132">
        <f>(C11+C16)*G56</f>
        <v>0</v>
      </c>
    </row>
    <row r="90" spans="1:3" ht="12.75">
      <c r="A90" s="51" t="s">
        <v>5</v>
      </c>
      <c r="B90" s="129">
        <f>D19*I56</f>
        <v>0</v>
      </c>
      <c r="C90" s="132">
        <f>(D11+D16)*I56</f>
        <v>0</v>
      </c>
    </row>
    <row r="91" spans="1:3" ht="12.75">
      <c r="A91" s="227" t="s">
        <v>8</v>
      </c>
      <c r="B91" s="129">
        <f>E19*N56</f>
        <v>0</v>
      </c>
      <c r="C91" s="132">
        <f>(E11+E16)*N56</f>
        <v>0</v>
      </c>
    </row>
    <row r="92" spans="1:3" ht="12.75">
      <c r="A92" s="227" t="s">
        <v>42</v>
      </c>
      <c r="B92" s="129">
        <f>F19*R56</f>
        <v>0</v>
      </c>
      <c r="C92" s="132">
        <f>(F11+F16)*R56</f>
        <v>0</v>
      </c>
    </row>
    <row r="93" spans="1:3" ht="13.5" thickBot="1">
      <c r="A93" s="109" t="s">
        <v>56</v>
      </c>
      <c r="B93" s="228">
        <f>SUM(B88:B92)</f>
        <v>5002.14</v>
      </c>
      <c r="C93" s="229">
        <f>SUM(C88:C92)</f>
        <v>12552.54</v>
      </c>
    </row>
  </sheetData>
  <sheetProtection/>
  <mergeCells count="12">
    <mergeCell ref="J55:N55"/>
    <mergeCell ref="J56:M56"/>
    <mergeCell ref="O55:R55"/>
    <mergeCell ref="O56:Q56"/>
    <mergeCell ref="A3:A4"/>
    <mergeCell ref="B55:E55"/>
    <mergeCell ref="H55:I55"/>
    <mergeCell ref="A51:C51"/>
    <mergeCell ref="B56:D56"/>
    <mergeCell ref="A54:A56"/>
    <mergeCell ref="A22:D22"/>
    <mergeCell ref="F55:G55"/>
  </mergeCells>
  <printOptions/>
  <pageMargins left="0.45" right="0.2" top="0.25" bottom="0.25" header="0" footer="0"/>
  <pageSetup fitToHeight="2" horizontalDpi="600" verticalDpi="600" orientation="landscape" paperSize="5" scale="53" r:id="rId1"/>
  <rowBreaks count="1" manualBreakCount="1">
    <brk id="5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8.75">
      <c r="A1" s="24" t="s">
        <v>223</v>
      </c>
      <c r="B1" s="6"/>
      <c r="C1" s="6"/>
      <c r="D1" s="6" t="s">
        <v>24</v>
      </c>
      <c r="E1" s="53" t="s">
        <v>24</v>
      </c>
      <c r="F1" s="53" t="s">
        <v>24</v>
      </c>
      <c r="G1" s="53" t="s">
        <v>24</v>
      </c>
      <c r="H1" s="6"/>
      <c r="I1" s="6"/>
      <c r="J1" s="6"/>
    </row>
    <row r="2" spans="1:6" ht="13.5" thickBot="1">
      <c r="A2" s="4" t="s">
        <v>304</v>
      </c>
      <c r="B2" s="6"/>
      <c r="C2" s="6"/>
      <c r="D2" s="318" t="s">
        <v>24</v>
      </c>
      <c r="E2" s="7" t="s">
        <v>24</v>
      </c>
      <c r="F2" s="4"/>
    </row>
    <row r="3" spans="1:10" ht="15.75" thickBot="1">
      <c r="A3" s="107" t="s">
        <v>70</v>
      </c>
      <c r="B3" s="77"/>
      <c r="C3" s="77"/>
      <c r="D3" s="77"/>
      <c r="E3" s="77"/>
      <c r="F3" s="77"/>
      <c r="G3" s="77"/>
      <c r="H3" s="77"/>
      <c r="I3" s="77" t="s">
        <v>24</v>
      </c>
      <c r="J3" s="77"/>
    </row>
    <row r="4" spans="1:10" ht="64.5" thickBot="1">
      <c r="A4" s="319" t="s">
        <v>3</v>
      </c>
      <c r="B4" s="320" t="s">
        <v>74</v>
      </c>
      <c r="C4" s="321" t="s">
        <v>198</v>
      </c>
      <c r="D4" s="322" t="s">
        <v>62</v>
      </c>
      <c r="E4" s="321" t="s">
        <v>199</v>
      </c>
      <c r="F4" s="322" t="s">
        <v>200</v>
      </c>
      <c r="G4" s="321" t="s">
        <v>201</v>
      </c>
      <c r="H4" s="323" t="s">
        <v>60</v>
      </c>
      <c r="I4" s="50"/>
      <c r="J4" s="50"/>
    </row>
    <row r="5" spans="1:10" ht="12.75">
      <c r="A5" s="324" t="s">
        <v>6</v>
      </c>
      <c r="B5" s="325">
        <v>43</v>
      </c>
      <c r="C5" s="326">
        <v>0</v>
      </c>
      <c r="D5" s="327">
        <f>B5+C5</f>
        <v>43</v>
      </c>
      <c r="E5" s="326">
        <v>0</v>
      </c>
      <c r="F5" s="327">
        <f aca="true" t="shared" si="0" ref="F5:F12">D5+E5</f>
        <v>43</v>
      </c>
      <c r="G5" s="326">
        <v>0</v>
      </c>
      <c r="H5" s="328">
        <f aca="true" t="shared" si="1" ref="H5:H12">F5+G5</f>
        <v>43</v>
      </c>
      <c r="I5" s="10"/>
      <c r="J5" s="10"/>
    </row>
    <row r="6" spans="1:10" ht="12.75">
      <c r="A6" s="329" t="s">
        <v>30</v>
      </c>
      <c r="B6" s="330">
        <f>$B$5</f>
        <v>43</v>
      </c>
      <c r="C6" s="60">
        <v>68</v>
      </c>
      <c r="D6" s="150">
        <f>B6+C6</f>
        <v>111</v>
      </c>
      <c r="E6" s="60">
        <v>0</v>
      </c>
      <c r="F6" s="150">
        <f t="shared" si="0"/>
        <v>111</v>
      </c>
      <c r="G6" s="60">
        <v>0</v>
      </c>
      <c r="H6" s="153">
        <f t="shared" si="1"/>
        <v>111</v>
      </c>
      <c r="I6" s="10"/>
      <c r="J6" s="10"/>
    </row>
    <row r="7" spans="1:10" ht="12.75">
      <c r="A7" s="329" t="s">
        <v>41</v>
      </c>
      <c r="B7" s="330">
        <f aca="true" t="shared" si="2" ref="B7:B13">$B$5</f>
        <v>43</v>
      </c>
      <c r="C7" s="60">
        <v>0</v>
      </c>
      <c r="D7" s="150">
        <f>B7+C6+C7</f>
        <v>111</v>
      </c>
      <c r="E7" s="60">
        <v>0</v>
      </c>
      <c r="F7" s="150">
        <f t="shared" si="0"/>
        <v>111</v>
      </c>
      <c r="G7" s="60">
        <v>0</v>
      </c>
      <c r="H7" s="153">
        <f t="shared" si="1"/>
        <v>111</v>
      </c>
      <c r="I7" s="10"/>
      <c r="J7" s="10"/>
    </row>
    <row r="8" spans="1:10" ht="12.75">
      <c r="A8" s="329" t="s">
        <v>5</v>
      </c>
      <c r="B8" s="330">
        <f t="shared" si="2"/>
        <v>43</v>
      </c>
      <c r="C8" s="60">
        <v>0</v>
      </c>
      <c r="D8" s="150">
        <f>B8+C6+C8</f>
        <v>111</v>
      </c>
      <c r="E8" s="60">
        <v>0</v>
      </c>
      <c r="F8" s="150">
        <f t="shared" si="0"/>
        <v>111</v>
      </c>
      <c r="G8" s="60">
        <v>0</v>
      </c>
      <c r="H8" s="153">
        <f t="shared" si="1"/>
        <v>111</v>
      </c>
      <c r="I8" s="10"/>
      <c r="J8" s="10"/>
    </row>
    <row r="9" spans="1:10" ht="12.75">
      <c r="A9" s="329" t="s">
        <v>8</v>
      </c>
      <c r="B9" s="330">
        <f t="shared" si="2"/>
        <v>43</v>
      </c>
      <c r="C9" s="60">
        <v>11.95</v>
      </c>
      <c r="D9" s="150">
        <f>B9+C6+C7+C9</f>
        <v>122.95</v>
      </c>
      <c r="E9" s="60">
        <v>0</v>
      </c>
      <c r="F9" s="150">
        <f t="shared" si="0"/>
        <v>122.95</v>
      </c>
      <c r="G9" s="60">
        <v>0</v>
      </c>
      <c r="H9" s="153">
        <f t="shared" si="1"/>
        <v>122.95</v>
      </c>
      <c r="I9" s="10"/>
      <c r="J9" s="10"/>
    </row>
    <row r="10" spans="1:10" ht="12.75">
      <c r="A10" s="329" t="s">
        <v>42</v>
      </c>
      <c r="B10" s="330">
        <f t="shared" si="2"/>
        <v>43</v>
      </c>
      <c r="C10" s="60">
        <v>0</v>
      </c>
      <c r="D10" s="150">
        <f>B10+C6+C7+C9+C10</f>
        <v>122.95</v>
      </c>
      <c r="E10" s="60">
        <v>0</v>
      </c>
      <c r="F10" s="150">
        <f t="shared" si="0"/>
        <v>122.95</v>
      </c>
      <c r="G10" s="60">
        <v>0</v>
      </c>
      <c r="H10" s="153">
        <f t="shared" si="1"/>
        <v>122.95</v>
      </c>
      <c r="I10" s="10"/>
      <c r="J10" s="10"/>
    </row>
    <row r="11" spans="1:10" ht="12.75">
      <c r="A11" s="329" t="s">
        <v>43</v>
      </c>
      <c r="B11" s="330">
        <f t="shared" si="2"/>
        <v>43</v>
      </c>
      <c r="C11" s="60">
        <v>0</v>
      </c>
      <c r="D11" s="150">
        <f>B11+C6+C7+C11</f>
        <v>111</v>
      </c>
      <c r="E11" s="60">
        <v>0</v>
      </c>
      <c r="F11" s="150">
        <f t="shared" si="0"/>
        <v>111</v>
      </c>
      <c r="G11" s="60">
        <v>0</v>
      </c>
      <c r="H11" s="153">
        <f t="shared" si="1"/>
        <v>111</v>
      </c>
      <c r="I11" s="10"/>
      <c r="J11" s="10"/>
    </row>
    <row r="12" spans="1:10" ht="12.75">
      <c r="A12" s="450" t="s">
        <v>15</v>
      </c>
      <c r="B12" s="60">
        <f t="shared" si="2"/>
        <v>43</v>
      </c>
      <c r="C12" s="158">
        <v>0</v>
      </c>
      <c r="D12" s="150">
        <f>B12+C6+C8+C12</f>
        <v>111</v>
      </c>
      <c r="E12" s="158">
        <v>0</v>
      </c>
      <c r="F12" s="150">
        <f t="shared" si="0"/>
        <v>111</v>
      </c>
      <c r="G12" s="158">
        <v>0</v>
      </c>
      <c r="H12" s="150">
        <f t="shared" si="1"/>
        <v>111</v>
      </c>
      <c r="I12" s="10"/>
      <c r="J12" s="10"/>
    </row>
    <row r="13" spans="1:10" ht="13.5" thickBot="1">
      <c r="A13" s="448" t="s">
        <v>51</v>
      </c>
      <c r="B13" s="449">
        <f t="shared" si="2"/>
        <v>43</v>
      </c>
      <c r="C13" s="186">
        <v>125.37</v>
      </c>
      <c r="D13" s="187">
        <f>B13+C13</f>
        <v>168.37</v>
      </c>
      <c r="E13" s="186">
        <v>0</v>
      </c>
      <c r="F13" s="187">
        <f>D13+E13</f>
        <v>168.37</v>
      </c>
      <c r="G13" s="186">
        <v>0</v>
      </c>
      <c r="H13" s="188">
        <f>F13+G13</f>
        <v>168.37</v>
      </c>
      <c r="I13" s="10"/>
      <c r="J13" s="10"/>
    </row>
    <row r="14" spans="1:10" ht="12.75">
      <c r="A14" s="12" t="s">
        <v>29</v>
      </c>
      <c r="B14" s="35"/>
      <c r="C14" s="35"/>
      <c r="D14" s="35"/>
      <c r="E14" s="36"/>
      <c r="F14" s="25"/>
      <c r="G14" s="25"/>
      <c r="H14" s="25"/>
      <c r="I14" s="65" t="s">
        <v>24</v>
      </c>
      <c r="J14" s="65"/>
    </row>
    <row r="15" spans="1:10" ht="12.75">
      <c r="A15" s="32"/>
      <c r="B15" s="35"/>
      <c r="C15" s="35"/>
      <c r="D15" s="35"/>
      <c r="E15" s="36"/>
      <c r="F15" s="25"/>
      <c r="G15" s="25"/>
      <c r="H15" s="25"/>
      <c r="I15" s="65"/>
      <c r="J15" s="65"/>
    </row>
    <row r="16" spans="1:10" ht="13.5" thickBot="1">
      <c r="A16" s="12"/>
      <c r="B16" s="35"/>
      <c r="C16" s="35"/>
      <c r="D16" s="35"/>
      <c r="E16" s="36"/>
      <c r="F16" s="25"/>
      <c r="G16" s="25"/>
      <c r="H16" s="25"/>
      <c r="I16" s="65"/>
      <c r="J16" s="65"/>
    </row>
    <row r="17" spans="1:10" ht="15.75" thickBot="1">
      <c r="A17" s="695" t="s">
        <v>202</v>
      </c>
      <c r="B17" s="696"/>
      <c r="C17" s="697"/>
      <c r="D17" s="331"/>
      <c r="E17" s="36"/>
      <c r="F17" s="25"/>
      <c r="G17" s="25"/>
      <c r="H17" s="25"/>
      <c r="I17" s="65"/>
      <c r="J17" s="65"/>
    </row>
    <row r="18" spans="1:18" ht="13.5" thickBot="1">
      <c r="A18" s="698" t="s">
        <v>3</v>
      </c>
      <c r="B18" s="700" t="s">
        <v>203</v>
      </c>
      <c r="C18" s="701"/>
      <c r="D18" s="701"/>
      <c r="E18" s="702"/>
      <c r="F18" s="700" t="s">
        <v>204</v>
      </c>
      <c r="G18" s="701"/>
      <c r="H18" s="701"/>
      <c r="I18" s="702"/>
      <c r="J18" s="700" t="s">
        <v>205</v>
      </c>
      <c r="K18" s="701"/>
      <c r="L18" s="701"/>
      <c r="M18" s="702"/>
      <c r="N18" s="700" t="s">
        <v>206</v>
      </c>
      <c r="O18" s="701"/>
      <c r="P18" s="701"/>
      <c r="Q18" s="702"/>
      <c r="R18" s="65"/>
    </row>
    <row r="19" spans="1:17" ht="39" thickBot="1">
      <c r="A19" s="699"/>
      <c r="B19" s="469" t="s">
        <v>207</v>
      </c>
      <c r="C19" s="145" t="s">
        <v>208</v>
      </c>
      <c r="D19" s="145" t="s">
        <v>209</v>
      </c>
      <c r="E19" s="146" t="s">
        <v>210</v>
      </c>
      <c r="F19" s="332" t="s">
        <v>207</v>
      </c>
      <c r="G19" s="321" t="s">
        <v>208</v>
      </c>
      <c r="H19" s="321" t="s">
        <v>209</v>
      </c>
      <c r="I19" s="333" t="s">
        <v>210</v>
      </c>
      <c r="J19" s="332" t="s">
        <v>207</v>
      </c>
      <c r="K19" s="321" t="s">
        <v>208</v>
      </c>
      <c r="L19" s="321" t="s">
        <v>209</v>
      </c>
      <c r="M19" s="333" t="s">
        <v>210</v>
      </c>
      <c r="N19" s="332" t="s">
        <v>207</v>
      </c>
      <c r="O19" s="321" t="s">
        <v>208</v>
      </c>
      <c r="P19" s="321" t="s">
        <v>209</v>
      </c>
      <c r="Q19" s="334" t="s">
        <v>211</v>
      </c>
    </row>
    <row r="20" spans="1:17" ht="12.75">
      <c r="A20" s="390" t="s">
        <v>6</v>
      </c>
      <c r="B20" s="338">
        <v>1452.8</v>
      </c>
      <c r="C20" s="340">
        <v>1193.5</v>
      </c>
      <c r="D20" s="340">
        <v>3341.1</v>
      </c>
      <c r="E20" s="341">
        <f>B20+C20+D20</f>
        <v>5987.4</v>
      </c>
      <c r="F20" s="465">
        <v>78.9</v>
      </c>
      <c r="G20" s="336">
        <v>10.4</v>
      </c>
      <c r="H20" s="337">
        <v>4082.2</v>
      </c>
      <c r="I20" s="341">
        <f aca="true" t="shared" si="3" ref="I20:I27">F20+G20+H20</f>
        <v>4171.5</v>
      </c>
      <c r="J20" s="342">
        <f>B20-F20</f>
        <v>1373.8999999999999</v>
      </c>
      <c r="K20" s="339">
        <f aca="true" t="shared" si="4" ref="K20:L27">C20-G20</f>
        <v>1183.1</v>
      </c>
      <c r="L20" s="339">
        <f t="shared" si="4"/>
        <v>-741.0999999999999</v>
      </c>
      <c r="M20" s="341">
        <f>J20+K20+L20</f>
        <v>1815.9</v>
      </c>
      <c r="N20" s="343">
        <v>0</v>
      </c>
      <c r="O20" s="344">
        <v>0</v>
      </c>
      <c r="P20" s="344">
        <v>26.4</v>
      </c>
      <c r="Q20" s="341">
        <f>N20+O20+P20</f>
        <v>26.4</v>
      </c>
    </row>
    <row r="21" spans="1:17" ht="12.75">
      <c r="A21" s="293" t="s">
        <v>30</v>
      </c>
      <c r="B21" s="353">
        <v>508.1</v>
      </c>
      <c r="C21" s="352">
        <v>559.9</v>
      </c>
      <c r="D21" s="352">
        <v>1629.4</v>
      </c>
      <c r="E21" s="348">
        <f aca="true" t="shared" si="5" ref="E21:E27">B21+C21+D21</f>
        <v>2697.4</v>
      </c>
      <c r="F21" s="466">
        <v>33.1</v>
      </c>
      <c r="G21" s="346">
        <v>10.4</v>
      </c>
      <c r="H21" s="347">
        <v>1853.4</v>
      </c>
      <c r="I21" s="348">
        <f t="shared" si="3"/>
        <v>1896.9</v>
      </c>
      <c r="J21" s="345">
        <f aca="true" t="shared" si="6" ref="J21:J27">B21-F21</f>
        <v>475</v>
      </c>
      <c r="K21" s="346">
        <f t="shared" si="4"/>
        <v>549.5</v>
      </c>
      <c r="L21" s="346">
        <f t="shared" si="4"/>
        <v>-224</v>
      </c>
      <c r="M21" s="348">
        <f aca="true" t="shared" si="7" ref="M21:M27">J21+K21+L21</f>
        <v>800.5</v>
      </c>
      <c r="N21" s="350">
        <v>0</v>
      </c>
      <c r="O21" s="49">
        <v>0</v>
      </c>
      <c r="P21" s="49">
        <v>0</v>
      </c>
      <c r="Q21" s="348">
        <f aca="true" t="shared" si="8" ref="Q21:Q27">N21+O21+P21</f>
        <v>0</v>
      </c>
    </row>
    <row r="22" spans="1:17" ht="12.75">
      <c r="A22" s="293" t="s">
        <v>41</v>
      </c>
      <c r="B22" s="353">
        <v>389</v>
      </c>
      <c r="C22" s="352">
        <v>266.2</v>
      </c>
      <c r="D22" s="352">
        <v>775.5</v>
      </c>
      <c r="E22" s="348">
        <f t="shared" si="5"/>
        <v>1430.7</v>
      </c>
      <c r="F22" s="466">
        <v>10.5</v>
      </c>
      <c r="G22" s="346">
        <v>10.4</v>
      </c>
      <c r="H22" s="347">
        <v>364.3</v>
      </c>
      <c r="I22" s="348">
        <f t="shared" si="3"/>
        <v>385.2</v>
      </c>
      <c r="J22" s="345">
        <f t="shared" si="6"/>
        <v>378.5</v>
      </c>
      <c r="K22" s="346">
        <f t="shared" si="4"/>
        <v>255.79999999999998</v>
      </c>
      <c r="L22" s="346">
        <f t="shared" si="4"/>
        <v>411.2</v>
      </c>
      <c r="M22" s="348">
        <f t="shared" si="7"/>
        <v>1045.5</v>
      </c>
      <c r="N22" s="350">
        <v>0</v>
      </c>
      <c r="O22" s="49">
        <v>0</v>
      </c>
      <c r="P22" s="49">
        <v>0</v>
      </c>
      <c r="Q22" s="348">
        <f t="shared" si="8"/>
        <v>0</v>
      </c>
    </row>
    <row r="23" spans="1:17" ht="12.75">
      <c r="A23" s="293" t="s">
        <v>5</v>
      </c>
      <c r="B23" s="353">
        <v>99.1</v>
      </c>
      <c r="C23" s="352">
        <v>112.8</v>
      </c>
      <c r="D23" s="352">
        <v>661</v>
      </c>
      <c r="E23" s="348">
        <f t="shared" si="5"/>
        <v>872.9</v>
      </c>
      <c r="F23" s="466">
        <v>0</v>
      </c>
      <c r="G23" s="346">
        <v>0</v>
      </c>
      <c r="H23" s="347">
        <v>656.5</v>
      </c>
      <c r="I23" s="348">
        <f t="shared" si="3"/>
        <v>656.5</v>
      </c>
      <c r="J23" s="345">
        <f t="shared" si="6"/>
        <v>99.1</v>
      </c>
      <c r="K23" s="346">
        <f t="shared" si="4"/>
        <v>112.8</v>
      </c>
      <c r="L23" s="346">
        <f t="shared" si="4"/>
        <v>4.5</v>
      </c>
      <c r="M23" s="348">
        <f t="shared" si="7"/>
        <v>216.39999999999998</v>
      </c>
      <c r="N23" s="351">
        <v>0</v>
      </c>
      <c r="O23" s="80">
        <v>0</v>
      </c>
      <c r="P23" s="80">
        <v>0</v>
      </c>
      <c r="Q23" s="348">
        <f t="shared" si="8"/>
        <v>0</v>
      </c>
    </row>
    <row r="24" spans="1:17" ht="12.75">
      <c r="A24" s="293" t="s">
        <v>8</v>
      </c>
      <c r="B24" s="353">
        <v>118.8</v>
      </c>
      <c r="C24" s="352">
        <v>153.9</v>
      </c>
      <c r="D24" s="352">
        <v>230.4</v>
      </c>
      <c r="E24" s="348">
        <f t="shared" si="5"/>
        <v>503.1</v>
      </c>
      <c r="F24" s="466">
        <v>0.9</v>
      </c>
      <c r="G24" s="346">
        <v>0</v>
      </c>
      <c r="H24" s="347">
        <v>291.5</v>
      </c>
      <c r="I24" s="348">
        <f t="shared" si="3"/>
        <v>292.4</v>
      </c>
      <c r="J24" s="345">
        <f t="shared" si="6"/>
        <v>117.89999999999999</v>
      </c>
      <c r="K24" s="346">
        <f t="shared" si="4"/>
        <v>153.9</v>
      </c>
      <c r="L24" s="346">
        <f t="shared" si="4"/>
        <v>-61.099999999999994</v>
      </c>
      <c r="M24" s="348">
        <f t="shared" si="7"/>
        <v>210.70000000000002</v>
      </c>
      <c r="N24" s="351">
        <v>0</v>
      </c>
      <c r="O24" s="80">
        <v>0</v>
      </c>
      <c r="P24" s="80">
        <v>0</v>
      </c>
      <c r="Q24" s="348">
        <f t="shared" si="8"/>
        <v>0</v>
      </c>
    </row>
    <row r="25" spans="1:17" ht="12.75">
      <c r="A25" s="293" t="s">
        <v>42</v>
      </c>
      <c r="B25" s="353">
        <v>66.5</v>
      </c>
      <c r="C25" s="352">
        <v>22.8</v>
      </c>
      <c r="D25" s="352">
        <v>0</v>
      </c>
      <c r="E25" s="348">
        <f t="shared" si="5"/>
        <v>89.3</v>
      </c>
      <c r="F25" s="466">
        <v>0</v>
      </c>
      <c r="G25" s="346">
        <v>0</v>
      </c>
      <c r="H25" s="352">
        <v>268.5</v>
      </c>
      <c r="I25" s="348">
        <f t="shared" si="3"/>
        <v>268.5</v>
      </c>
      <c r="J25" s="345">
        <f t="shared" si="6"/>
        <v>66.5</v>
      </c>
      <c r="K25" s="346">
        <f t="shared" si="4"/>
        <v>22.8</v>
      </c>
      <c r="L25" s="346">
        <f t="shared" si="4"/>
        <v>-268.5</v>
      </c>
      <c r="M25" s="348">
        <f t="shared" si="7"/>
        <v>-179.2</v>
      </c>
      <c r="N25" s="351">
        <v>0</v>
      </c>
      <c r="O25" s="80">
        <v>0</v>
      </c>
      <c r="P25" s="80">
        <v>0</v>
      </c>
      <c r="Q25" s="348">
        <f t="shared" si="8"/>
        <v>0</v>
      </c>
    </row>
    <row r="26" spans="1:17" ht="12.75">
      <c r="A26" s="293" t="s">
        <v>43</v>
      </c>
      <c r="B26" s="353">
        <v>19.8</v>
      </c>
      <c r="C26" s="352">
        <v>1.6</v>
      </c>
      <c r="D26" s="352">
        <v>0</v>
      </c>
      <c r="E26" s="348">
        <f t="shared" si="5"/>
        <v>21.400000000000002</v>
      </c>
      <c r="F26" s="466">
        <v>0</v>
      </c>
      <c r="G26" s="346">
        <v>0</v>
      </c>
      <c r="H26" s="352">
        <v>0</v>
      </c>
      <c r="I26" s="348">
        <f t="shared" si="3"/>
        <v>0</v>
      </c>
      <c r="J26" s="345">
        <f t="shared" si="6"/>
        <v>19.8</v>
      </c>
      <c r="K26" s="346">
        <f t="shared" si="4"/>
        <v>1.6</v>
      </c>
      <c r="L26" s="346">
        <f t="shared" si="4"/>
        <v>0</v>
      </c>
      <c r="M26" s="348">
        <f t="shared" si="7"/>
        <v>21.400000000000002</v>
      </c>
      <c r="N26" s="351">
        <v>0</v>
      </c>
      <c r="O26" s="80">
        <v>0</v>
      </c>
      <c r="P26" s="80">
        <v>0</v>
      </c>
      <c r="Q26" s="348">
        <f t="shared" si="8"/>
        <v>0</v>
      </c>
    </row>
    <row r="27" spans="1:17" ht="12.75">
      <c r="A27" s="463" t="s">
        <v>15</v>
      </c>
      <c r="B27" s="353">
        <v>65.1</v>
      </c>
      <c r="C27" s="352">
        <v>66.6</v>
      </c>
      <c r="D27" s="352">
        <v>661</v>
      </c>
      <c r="E27" s="348">
        <f t="shared" si="5"/>
        <v>792.7</v>
      </c>
      <c r="F27" s="467">
        <v>0</v>
      </c>
      <c r="G27" s="347">
        <v>0</v>
      </c>
      <c r="H27" s="352">
        <v>1.7</v>
      </c>
      <c r="I27" s="63">
        <f t="shared" si="3"/>
        <v>1.7</v>
      </c>
      <c r="J27" s="346">
        <f t="shared" si="6"/>
        <v>65.1</v>
      </c>
      <c r="K27" s="346">
        <f t="shared" si="4"/>
        <v>66.6</v>
      </c>
      <c r="L27" s="346">
        <f t="shared" si="4"/>
        <v>659.3</v>
      </c>
      <c r="M27" s="63">
        <f t="shared" si="7"/>
        <v>791</v>
      </c>
      <c r="N27" s="80">
        <v>0</v>
      </c>
      <c r="O27" s="80">
        <v>0</v>
      </c>
      <c r="P27" s="80">
        <v>0</v>
      </c>
      <c r="Q27" s="63">
        <f t="shared" si="8"/>
        <v>0</v>
      </c>
    </row>
    <row r="28" spans="1:17" ht="13.5" thickBot="1">
      <c r="A28" s="464" t="s">
        <v>51</v>
      </c>
      <c r="B28" s="470">
        <v>377.5</v>
      </c>
      <c r="C28" s="471">
        <v>296.7</v>
      </c>
      <c r="D28" s="471">
        <v>76.8</v>
      </c>
      <c r="E28" s="472">
        <f>B28+C28+D28</f>
        <v>751</v>
      </c>
      <c r="F28" s="468">
        <v>0</v>
      </c>
      <c r="G28" s="453">
        <v>0</v>
      </c>
      <c r="H28" s="454">
        <v>751</v>
      </c>
      <c r="I28" s="455">
        <f>F28+G28+H28</f>
        <v>751</v>
      </c>
      <c r="J28" s="456">
        <f>B28-F28</f>
        <v>377.5</v>
      </c>
      <c r="K28" s="457">
        <f>C28-G28</f>
        <v>296.7</v>
      </c>
      <c r="L28" s="457">
        <f>D28-H28</f>
        <v>-674.2</v>
      </c>
      <c r="M28" s="455">
        <f>J28+K28+L28</f>
        <v>0</v>
      </c>
      <c r="N28" s="458">
        <v>0</v>
      </c>
      <c r="O28" s="459">
        <v>0</v>
      </c>
      <c r="P28" s="459">
        <v>26.4</v>
      </c>
      <c r="Q28" s="455">
        <f>N28+O28+P28</f>
        <v>26.4</v>
      </c>
    </row>
    <row r="29" spans="1:17" ht="12.75">
      <c r="A29" s="12"/>
      <c r="B29" s="354"/>
      <c r="C29" s="355"/>
      <c r="D29" s="354"/>
      <c r="E29" s="356"/>
      <c r="F29" s="354"/>
      <c r="G29" s="355"/>
      <c r="H29" s="354"/>
      <c r="I29" s="356"/>
      <c r="J29" s="357"/>
      <c r="K29" s="357"/>
      <c r="L29" s="357"/>
      <c r="M29" s="356"/>
      <c r="N29" s="12"/>
      <c r="O29" s="12"/>
      <c r="P29" s="12"/>
      <c r="Q29" s="12"/>
    </row>
    <row r="30" spans="1:17" ht="13.5" thickBot="1">
      <c r="A30" s="12"/>
      <c r="B30" s="354"/>
      <c r="C30" s="355"/>
      <c r="D30" s="354"/>
      <c r="E30" s="356"/>
      <c r="F30" s="354"/>
      <c r="G30" s="355"/>
      <c r="H30" s="354"/>
      <c r="I30" s="356"/>
      <c r="J30" s="357"/>
      <c r="K30" s="357"/>
      <c r="L30" s="357" t="s">
        <v>24</v>
      </c>
      <c r="M30" s="356"/>
      <c r="N30" s="12"/>
      <c r="O30" s="12"/>
      <c r="P30" s="12"/>
      <c r="Q30" s="12"/>
    </row>
    <row r="31" spans="1:17" ht="15.75" thickBot="1">
      <c r="A31" s="703" t="s">
        <v>212</v>
      </c>
      <c r="B31" s="704"/>
      <c r="C31" s="355"/>
      <c r="D31" s="354"/>
      <c r="E31" s="356"/>
      <c r="F31" s="354"/>
      <c r="G31" s="355"/>
      <c r="H31" s="354"/>
      <c r="I31" s="356"/>
      <c r="J31" s="357"/>
      <c r="K31" s="357"/>
      <c r="L31" s="357"/>
      <c r="M31" s="356"/>
      <c r="N31" s="12"/>
      <c r="O31" s="12"/>
      <c r="P31" s="12"/>
      <c r="Q31" s="10"/>
    </row>
    <row r="32" spans="1:18" ht="13.5" thickBot="1">
      <c r="A32" s="705" t="s">
        <v>3</v>
      </c>
      <c r="B32" s="700" t="s">
        <v>213</v>
      </c>
      <c r="C32" s="701"/>
      <c r="D32" s="701"/>
      <c r="E32" s="702"/>
      <c r="F32" s="700" t="s">
        <v>214</v>
      </c>
      <c r="G32" s="701"/>
      <c r="H32" s="701"/>
      <c r="I32" s="702"/>
      <c r="J32" s="700" t="s">
        <v>215</v>
      </c>
      <c r="K32" s="701"/>
      <c r="L32" s="701"/>
      <c r="M32" s="702"/>
      <c r="N32" s="48"/>
      <c r="O32" s="358"/>
      <c r="P32" s="358"/>
      <c r="Q32" s="358"/>
      <c r="R32" s="65"/>
    </row>
    <row r="33" spans="1:17" ht="39" thickBot="1">
      <c r="A33" s="706"/>
      <c r="B33" s="332" t="s">
        <v>207</v>
      </c>
      <c r="C33" s="321" t="s">
        <v>208</v>
      </c>
      <c r="D33" s="321" t="s">
        <v>209</v>
      </c>
      <c r="E33" s="333" t="s">
        <v>210</v>
      </c>
      <c r="F33" s="332" t="s">
        <v>207</v>
      </c>
      <c r="G33" s="321" t="s">
        <v>208</v>
      </c>
      <c r="H33" s="321" t="s">
        <v>209</v>
      </c>
      <c r="I33" s="333" t="s">
        <v>210</v>
      </c>
      <c r="J33" s="332" t="s">
        <v>207</v>
      </c>
      <c r="K33" s="321" t="s">
        <v>208</v>
      </c>
      <c r="L33" s="321" t="s">
        <v>209</v>
      </c>
      <c r="M33" s="333" t="s">
        <v>210</v>
      </c>
      <c r="N33" s="23"/>
      <c r="O33" s="136"/>
      <c r="P33" s="136"/>
      <c r="Q33" s="136"/>
    </row>
    <row r="34" spans="1:19" ht="12.75">
      <c r="A34" s="335" t="s">
        <v>6</v>
      </c>
      <c r="B34" s="342">
        <v>60.1</v>
      </c>
      <c r="C34" s="339">
        <v>0</v>
      </c>
      <c r="D34" s="340">
        <v>0</v>
      </c>
      <c r="E34" s="341">
        <f aca="true" t="shared" si="9" ref="E34:E41">B34+C34+D34</f>
        <v>60.1</v>
      </c>
      <c r="F34" s="338">
        <v>0</v>
      </c>
      <c r="G34" s="339">
        <v>0</v>
      </c>
      <c r="H34" s="340">
        <v>1876</v>
      </c>
      <c r="I34" s="341">
        <f aca="true" t="shared" si="10" ref="I34:I41">F34+G34+H34</f>
        <v>1876</v>
      </c>
      <c r="J34" s="338">
        <f>B34-F34</f>
        <v>60.1</v>
      </c>
      <c r="K34" s="339">
        <f aca="true" t="shared" si="11" ref="K34:L41">C34-G34</f>
        <v>0</v>
      </c>
      <c r="L34" s="339">
        <f t="shared" si="11"/>
        <v>-1876</v>
      </c>
      <c r="M34" s="341">
        <f aca="true" t="shared" si="12" ref="M34:M41">J34+K34+L34</f>
        <v>-1815.9</v>
      </c>
      <c r="N34" s="10"/>
      <c r="O34" s="12"/>
      <c r="P34" s="47"/>
      <c r="Q34" s="47"/>
      <c r="R34" s="359"/>
      <c r="S34" s="360"/>
    </row>
    <row r="35" spans="1:19" ht="12.75">
      <c r="A35" s="266" t="s">
        <v>30</v>
      </c>
      <c r="B35" s="345">
        <v>60.1</v>
      </c>
      <c r="C35" s="346">
        <v>0</v>
      </c>
      <c r="D35" s="352">
        <v>0</v>
      </c>
      <c r="E35" s="348">
        <f t="shared" si="9"/>
        <v>60.1</v>
      </c>
      <c r="F35" s="349">
        <v>0</v>
      </c>
      <c r="G35" s="346">
        <v>0</v>
      </c>
      <c r="H35" s="352">
        <v>860.6</v>
      </c>
      <c r="I35" s="348">
        <f t="shared" si="10"/>
        <v>860.6</v>
      </c>
      <c r="J35" s="345">
        <f aca="true" t="shared" si="13" ref="J35:J41">B35-F35</f>
        <v>60.1</v>
      </c>
      <c r="K35" s="346">
        <f t="shared" si="11"/>
        <v>0</v>
      </c>
      <c r="L35" s="346">
        <f t="shared" si="11"/>
        <v>-860.6</v>
      </c>
      <c r="M35" s="348">
        <f t="shared" si="12"/>
        <v>-800.5</v>
      </c>
      <c r="N35" s="10"/>
      <c r="O35" s="12"/>
      <c r="P35" s="47"/>
      <c r="Q35" s="47"/>
      <c r="R35" s="361"/>
      <c r="S35" s="360"/>
    </row>
    <row r="36" spans="1:19" ht="12.75">
      <c r="A36" s="266" t="s">
        <v>41</v>
      </c>
      <c r="B36" s="345">
        <v>60.1</v>
      </c>
      <c r="C36" s="346">
        <v>0</v>
      </c>
      <c r="D36" s="352">
        <v>0</v>
      </c>
      <c r="E36" s="348">
        <f t="shared" si="9"/>
        <v>60.1</v>
      </c>
      <c r="F36" s="349">
        <v>0</v>
      </c>
      <c r="G36" s="346">
        <v>0</v>
      </c>
      <c r="H36" s="352">
        <v>476.6</v>
      </c>
      <c r="I36" s="348">
        <f t="shared" si="10"/>
        <v>476.6</v>
      </c>
      <c r="J36" s="345">
        <f t="shared" si="13"/>
        <v>60.1</v>
      </c>
      <c r="K36" s="346">
        <f t="shared" si="11"/>
        <v>0</v>
      </c>
      <c r="L36" s="346">
        <f t="shared" si="11"/>
        <v>-476.6</v>
      </c>
      <c r="M36" s="348">
        <f t="shared" si="12"/>
        <v>-416.5</v>
      </c>
      <c r="N36" s="10"/>
      <c r="O36" s="12"/>
      <c r="P36" s="47"/>
      <c r="Q36" s="12"/>
      <c r="R36" s="361"/>
      <c r="S36" s="360"/>
    </row>
    <row r="37" spans="1:19" ht="12.75">
      <c r="A37" s="266" t="s">
        <v>5</v>
      </c>
      <c r="B37" s="345">
        <v>0</v>
      </c>
      <c r="C37" s="346">
        <v>0</v>
      </c>
      <c r="D37" s="352">
        <v>0</v>
      </c>
      <c r="E37" s="348">
        <f t="shared" si="9"/>
        <v>0</v>
      </c>
      <c r="F37" s="349">
        <v>0</v>
      </c>
      <c r="G37" s="346">
        <v>0</v>
      </c>
      <c r="H37" s="352">
        <v>41.2</v>
      </c>
      <c r="I37" s="348">
        <f t="shared" si="10"/>
        <v>41.2</v>
      </c>
      <c r="J37" s="345">
        <f t="shared" si="13"/>
        <v>0</v>
      </c>
      <c r="K37" s="346">
        <f t="shared" si="11"/>
        <v>0</v>
      </c>
      <c r="L37" s="346">
        <f t="shared" si="11"/>
        <v>-41.2</v>
      </c>
      <c r="M37" s="348">
        <f t="shared" si="12"/>
        <v>-41.2</v>
      </c>
      <c r="N37" s="12"/>
      <c r="O37" s="12"/>
      <c r="P37" s="47"/>
      <c r="Q37" s="12"/>
      <c r="R37" s="361"/>
      <c r="S37" s="360"/>
    </row>
    <row r="38" spans="1:19" ht="12.75">
      <c r="A38" s="266" t="s">
        <v>8</v>
      </c>
      <c r="B38" s="345">
        <v>0</v>
      </c>
      <c r="C38" s="346">
        <v>0</v>
      </c>
      <c r="D38" s="352">
        <v>0</v>
      </c>
      <c r="E38" s="348">
        <f t="shared" si="9"/>
        <v>0</v>
      </c>
      <c r="F38" s="349">
        <v>0</v>
      </c>
      <c r="G38" s="346">
        <v>0</v>
      </c>
      <c r="H38" s="352">
        <v>197.3</v>
      </c>
      <c r="I38" s="348">
        <f t="shared" si="10"/>
        <v>197.3</v>
      </c>
      <c r="J38" s="345">
        <f t="shared" si="13"/>
        <v>0</v>
      </c>
      <c r="K38" s="346">
        <f t="shared" si="11"/>
        <v>0</v>
      </c>
      <c r="L38" s="346">
        <f t="shared" si="11"/>
        <v>-197.3</v>
      </c>
      <c r="M38" s="348">
        <f t="shared" si="12"/>
        <v>-197.3</v>
      </c>
      <c r="N38" s="12"/>
      <c r="O38" s="12"/>
      <c r="P38" s="47"/>
      <c r="Q38" s="12"/>
      <c r="R38" s="361"/>
      <c r="S38" s="360"/>
    </row>
    <row r="39" spans="1:17" ht="12.75">
      <c r="A39" s="266" t="s">
        <v>42</v>
      </c>
      <c r="B39" s="345">
        <v>0</v>
      </c>
      <c r="C39" s="346">
        <v>0</v>
      </c>
      <c r="D39" s="352">
        <v>0</v>
      </c>
      <c r="E39" s="348">
        <f t="shared" si="9"/>
        <v>0</v>
      </c>
      <c r="F39" s="353">
        <v>0</v>
      </c>
      <c r="G39" s="346">
        <v>0</v>
      </c>
      <c r="H39" s="352">
        <v>25.3</v>
      </c>
      <c r="I39" s="348">
        <f t="shared" si="10"/>
        <v>25.3</v>
      </c>
      <c r="J39" s="345">
        <f t="shared" si="13"/>
        <v>0</v>
      </c>
      <c r="K39" s="346">
        <f t="shared" si="11"/>
        <v>0</v>
      </c>
      <c r="L39" s="346">
        <f t="shared" si="11"/>
        <v>-25.3</v>
      </c>
      <c r="M39" s="348">
        <f t="shared" si="12"/>
        <v>-25.3</v>
      </c>
      <c r="N39" s="12"/>
      <c r="O39" s="47"/>
      <c r="P39" s="12"/>
      <c r="Q39" s="12"/>
    </row>
    <row r="40" spans="1:17" ht="12.75">
      <c r="A40" s="266" t="s">
        <v>43</v>
      </c>
      <c r="B40" s="345">
        <v>60.1</v>
      </c>
      <c r="C40" s="346">
        <v>0</v>
      </c>
      <c r="D40" s="352">
        <v>0</v>
      </c>
      <c r="E40" s="348">
        <f t="shared" si="9"/>
        <v>60.1</v>
      </c>
      <c r="F40" s="353">
        <v>0</v>
      </c>
      <c r="G40" s="346">
        <v>0</v>
      </c>
      <c r="H40" s="352">
        <v>0</v>
      </c>
      <c r="I40" s="348">
        <f t="shared" si="10"/>
        <v>0</v>
      </c>
      <c r="J40" s="345">
        <f t="shared" si="13"/>
        <v>60.1</v>
      </c>
      <c r="K40" s="346">
        <f t="shared" si="11"/>
        <v>0</v>
      </c>
      <c r="L40" s="346">
        <f t="shared" si="11"/>
        <v>0</v>
      </c>
      <c r="M40" s="348">
        <f t="shared" si="12"/>
        <v>60.1</v>
      </c>
      <c r="N40" s="12"/>
      <c r="O40" s="12"/>
      <c r="P40" s="12"/>
      <c r="Q40" s="12"/>
    </row>
    <row r="41" spans="1:17" ht="12.75">
      <c r="A41" s="64" t="s">
        <v>15</v>
      </c>
      <c r="B41" s="352">
        <v>0</v>
      </c>
      <c r="C41" s="347">
        <v>0</v>
      </c>
      <c r="D41" s="352">
        <v>0</v>
      </c>
      <c r="E41" s="63">
        <f t="shared" si="9"/>
        <v>0</v>
      </c>
      <c r="F41" s="352">
        <v>0</v>
      </c>
      <c r="G41" s="346">
        <v>0</v>
      </c>
      <c r="H41" s="352">
        <v>0</v>
      </c>
      <c r="I41" s="63">
        <f t="shared" si="10"/>
        <v>0</v>
      </c>
      <c r="J41" s="346">
        <f t="shared" si="13"/>
        <v>0</v>
      </c>
      <c r="K41" s="346">
        <f t="shared" si="11"/>
        <v>0</v>
      </c>
      <c r="L41" s="346">
        <f t="shared" si="11"/>
        <v>0</v>
      </c>
      <c r="M41" s="63">
        <f t="shared" si="12"/>
        <v>0</v>
      </c>
      <c r="N41" s="12"/>
      <c r="O41" s="362"/>
      <c r="P41" s="307"/>
      <c r="Q41" s="363"/>
    </row>
    <row r="42" spans="1:17" ht="13.5" thickBot="1">
      <c r="A42" s="451" t="s">
        <v>51</v>
      </c>
      <c r="B42" s="452">
        <v>0</v>
      </c>
      <c r="C42" s="453">
        <v>0</v>
      </c>
      <c r="D42" s="454">
        <v>0</v>
      </c>
      <c r="E42" s="455">
        <f>B42+C42+D42</f>
        <v>0</v>
      </c>
      <c r="F42" s="452">
        <v>0</v>
      </c>
      <c r="G42" s="457">
        <v>0</v>
      </c>
      <c r="H42" s="454">
        <v>0</v>
      </c>
      <c r="I42" s="455">
        <f>F42+G42+H42</f>
        <v>0</v>
      </c>
      <c r="J42" s="456">
        <f>B42-F42</f>
        <v>0</v>
      </c>
      <c r="K42" s="457">
        <f>C42-G42</f>
        <v>0</v>
      </c>
      <c r="L42" s="457">
        <f>D42-H42</f>
        <v>0</v>
      </c>
      <c r="M42" s="455">
        <f>J42+K42+L42</f>
        <v>0</v>
      </c>
      <c r="N42" s="12"/>
      <c r="O42" s="362"/>
      <c r="P42" s="307"/>
      <c r="Q42" s="363"/>
    </row>
    <row r="43" spans="1:17" ht="13.5" thickBot="1">
      <c r="A43" s="12"/>
      <c r="B43" s="354"/>
      <c r="C43" s="355"/>
      <c r="D43" s="354"/>
      <c r="E43" s="356"/>
      <c r="F43" s="354"/>
      <c r="G43" s="355"/>
      <c r="H43" s="354"/>
      <c r="I43" s="356"/>
      <c r="J43" s="357"/>
      <c r="K43" s="357"/>
      <c r="L43" s="357"/>
      <c r="M43" s="356"/>
      <c r="N43" s="12"/>
      <c r="O43" s="12"/>
      <c r="P43" s="12"/>
      <c r="Q43" s="10"/>
    </row>
    <row r="44" spans="1:10" ht="15.75" thickBot="1">
      <c r="A44" s="364" t="s">
        <v>216</v>
      </c>
      <c r="B44" s="35"/>
      <c r="C44" s="35"/>
      <c r="D44" s="35"/>
      <c r="E44" s="36"/>
      <c r="F44" s="25"/>
      <c r="G44" s="25"/>
      <c r="H44" s="25"/>
      <c r="I44" s="65"/>
      <c r="J44" s="65"/>
    </row>
    <row r="45" spans="1:25" ht="13.5" thickBot="1">
      <c r="A45" s="698" t="s">
        <v>3</v>
      </c>
      <c r="B45" s="700" t="s">
        <v>203</v>
      </c>
      <c r="C45" s="701"/>
      <c r="D45" s="701"/>
      <c r="E45" s="702"/>
      <c r="F45" s="700" t="s">
        <v>204</v>
      </c>
      <c r="G45" s="701"/>
      <c r="H45" s="701"/>
      <c r="I45" s="702"/>
      <c r="J45" s="700" t="s">
        <v>205</v>
      </c>
      <c r="K45" s="701"/>
      <c r="L45" s="701"/>
      <c r="M45" s="702"/>
      <c r="N45" s="707" t="s">
        <v>217</v>
      </c>
      <c r="O45" s="708"/>
      <c r="P45" s="708"/>
      <c r="Q45" s="709"/>
      <c r="R45" s="707" t="s">
        <v>218</v>
      </c>
      <c r="S45" s="708"/>
      <c r="T45" s="708"/>
      <c r="U45" s="709"/>
      <c r="V45" s="707" t="s">
        <v>219</v>
      </c>
      <c r="W45" s="708"/>
      <c r="X45" s="708"/>
      <c r="Y45" s="709"/>
    </row>
    <row r="46" spans="1:25" ht="39" thickBot="1">
      <c r="A46" s="699"/>
      <c r="B46" s="332" t="s">
        <v>207</v>
      </c>
      <c r="C46" s="321" t="s">
        <v>208</v>
      </c>
      <c r="D46" s="321" t="s">
        <v>209</v>
      </c>
      <c r="E46" s="333" t="s">
        <v>210</v>
      </c>
      <c r="F46" s="332" t="s">
        <v>207</v>
      </c>
      <c r="G46" s="321" t="s">
        <v>208</v>
      </c>
      <c r="H46" s="321" t="s">
        <v>209</v>
      </c>
      <c r="I46" s="333" t="s">
        <v>210</v>
      </c>
      <c r="J46" s="332" t="s">
        <v>207</v>
      </c>
      <c r="K46" s="321" t="s">
        <v>208</v>
      </c>
      <c r="L46" s="321" t="s">
        <v>209</v>
      </c>
      <c r="M46" s="333" t="s">
        <v>210</v>
      </c>
      <c r="N46" s="332" t="s">
        <v>207</v>
      </c>
      <c r="O46" s="321" t="s">
        <v>208</v>
      </c>
      <c r="P46" s="321" t="s">
        <v>209</v>
      </c>
      <c r="Q46" s="333" t="s">
        <v>210</v>
      </c>
      <c r="R46" s="332" t="s">
        <v>207</v>
      </c>
      <c r="S46" s="321" t="s">
        <v>208</v>
      </c>
      <c r="T46" s="321" t="s">
        <v>209</v>
      </c>
      <c r="U46" s="333" t="s">
        <v>210</v>
      </c>
      <c r="V46" s="332" t="s">
        <v>207</v>
      </c>
      <c r="W46" s="321" t="s">
        <v>208</v>
      </c>
      <c r="X46" s="321" t="s">
        <v>209</v>
      </c>
      <c r="Y46" s="333" t="s">
        <v>210</v>
      </c>
    </row>
    <row r="47" spans="1:25" ht="12.75">
      <c r="A47" s="365" t="s">
        <v>52</v>
      </c>
      <c r="B47" s="489">
        <f>B20-B21-B28</f>
        <v>567.1999999999999</v>
      </c>
      <c r="C47" s="366">
        <f>C20-C21-C28</f>
        <v>336.90000000000003</v>
      </c>
      <c r="D47" s="490">
        <f>D20-D21-D28</f>
        <v>1634.8999999999999</v>
      </c>
      <c r="E47" s="367">
        <f>B47+C47+D47</f>
        <v>2539</v>
      </c>
      <c r="F47" s="491">
        <f>F20-F21-F28</f>
        <v>45.800000000000004</v>
      </c>
      <c r="G47" s="492">
        <f>G20-G21-G28</f>
        <v>0</v>
      </c>
      <c r="H47" s="493">
        <f>H20-H21-H28</f>
        <v>1477.7999999999997</v>
      </c>
      <c r="I47" s="494">
        <f aca="true" t="shared" si="14" ref="I47:I54">F47+G47+H47</f>
        <v>1523.5999999999997</v>
      </c>
      <c r="J47" s="368">
        <f>B47-F47</f>
        <v>521.4</v>
      </c>
      <c r="K47" s="369">
        <f aca="true" t="shared" si="15" ref="J47:L54">C47-G47</f>
        <v>336.90000000000003</v>
      </c>
      <c r="L47" s="369">
        <f t="shared" si="15"/>
        <v>157.10000000000014</v>
      </c>
      <c r="M47" s="341">
        <f>J47+K47+L47</f>
        <v>1015.4000000000001</v>
      </c>
      <c r="N47" s="370">
        <f>B47*D5</f>
        <v>24389.6</v>
      </c>
      <c r="O47" s="371">
        <f>C47*F5</f>
        <v>14486.7</v>
      </c>
      <c r="P47" s="371">
        <f>D47*H5</f>
        <v>70300.7</v>
      </c>
      <c r="Q47" s="372">
        <f>N47+O47+P47</f>
        <v>109177</v>
      </c>
      <c r="R47" s="370">
        <f>F47*D5</f>
        <v>1969.4</v>
      </c>
      <c r="S47" s="371">
        <f aca="true" t="shared" si="16" ref="S47:S55">G47*F5</f>
        <v>0</v>
      </c>
      <c r="T47" s="371">
        <f aca="true" t="shared" si="17" ref="T47:T54">H47*H5</f>
        <v>63545.39999999999</v>
      </c>
      <c r="U47" s="372">
        <f aca="true" t="shared" si="18" ref="U47:U55">R47+S47+T47</f>
        <v>65514.79999999999</v>
      </c>
      <c r="V47" s="373">
        <f aca="true" t="shared" si="19" ref="V47:X54">N47-R47</f>
        <v>22420.199999999997</v>
      </c>
      <c r="W47" s="374">
        <f t="shared" si="19"/>
        <v>14486.7</v>
      </c>
      <c r="X47" s="374">
        <f t="shared" si="19"/>
        <v>6755.30000000001</v>
      </c>
      <c r="Y47" s="375">
        <f aca="true" t="shared" si="20" ref="Y47:Y55">V47+W47+X47</f>
        <v>43662.200000000004</v>
      </c>
    </row>
    <row r="48" spans="1:25" ht="12.75">
      <c r="A48" s="266" t="s">
        <v>55</v>
      </c>
      <c r="B48" s="260">
        <f>B21-B22-B23</f>
        <v>20.00000000000003</v>
      </c>
      <c r="C48" s="57">
        <f>C21-C22-C23</f>
        <v>180.89999999999998</v>
      </c>
      <c r="D48" s="57">
        <f>D21-D22-D23</f>
        <v>192.9000000000001</v>
      </c>
      <c r="E48" s="376">
        <f aca="true" t="shared" si="21" ref="E48:E54">B48+C48+D48</f>
        <v>393.80000000000007</v>
      </c>
      <c r="F48" s="260">
        <f>F21-F22-F23</f>
        <v>22.6</v>
      </c>
      <c r="G48" s="57">
        <f>G21-G22-G23</f>
        <v>0</v>
      </c>
      <c r="H48" s="57">
        <f>H21-H22-H23</f>
        <v>832.6000000000001</v>
      </c>
      <c r="I48" s="376">
        <f t="shared" si="14"/>
        <v>855.2000000000002</v>
      </c>
      <c r="J48" s="377">
        <f>B48-F48</f>
        <v>-2.599999999999973</v>
      </c>
      <c r="K48" s="378">
        <f t="shared" si="15"/>
        <v>180.89999999999998</v>
      </c>
      <c r="L48" s="378">
        <f t="shared" si="15"/>
        <v>-639.7</v>
      </c>
      <c r="M48" s="348">
        <f aca="true" t="shared" si="22" ref="M48:M54">J48+K48+L48</f>
        <v>-461.40000000000003</v>
      </c>
      <c r="N48" s="379">
        <f aca="true" t="shared" si="23" ref="N48:N55">B48*D6</f>
        <v>2220.000000000003</v>
      </c>
      <c r="O48" s="130">
        <f aca="true" t="shared" si="24" ref="O48:O55">C48*F6</f>
        <v>20079.899999999998</v>
      </c>
      <c r="P48" s="130">
        <f aca="true" t="shared" si="25" ref="P48:P55">D48*H6</f>
        <v>21411.90000000001</v>
      </c>
      <c r="Q48" s="113">
        <f>N48+O48+P48</f>
        <v>43711.80000000001</v>
      </c>
      <c r="R48" s="379">
        <f aca="true" t="shared" si="26" ref="R48:R55">F48*D6</f>
        <v>2508.6000000000004</v>
      </c>
      <c r="S48" s="130">
        <f t="shared" si="16"/>
        <v>0</v>
      </c>
      <c r="T48" s="130">
        <f t="shared" si="17"/>
        <v>92418.60000000002</v>
      </c>
      <c r="U48" s="113">
        <f t="shared" si="18"/>
        <v>94927.20000000003</v>
      </c>
      <c r="V48" s="379">
        <f t="shared" si="19"/>
        <v>-288.5999999999972</v>
      </c>
      <c r="W48" s="130">
        <f t="shared" si="19"/>
        <v>20079.899999999998</v>
      </c>
      <c r="X48" s="130">
        <f t="shared" si="19"/>
        <v>-71006.70000000001</v>
      </c>
      <c r="Y48" s="113">
        <f t="shared" si="20"/>
        <v>-51215.40000000001</v>
      </c>
    </row>
    <row r="49" spans="1:25" ht="12.75">
      <c r="A49" s="266" t="s">
        <v>54</v>
      </c>
      <c r="B49" s="260">
        <f>B22-B24-B26</f>
        <v>250.39999999999998</v>
      </c>
      <c r="C49" s="57">
        <f>C22-C24-C26</f>
        <v>110.69999999999999</v>
      </c>
      <c r="D49" s="57">
        <f>D22-D24-D26</f>
        <v>545.1</v>
      </c>
      <c r="E49" s="376">
        <f t="shared" si="21"/>
        <v>906.2</v>
      </c>
      <c r="F49" s="260">
        <f>F22-F24-F26</f>
        <v>9.6</v>
      </c>
      <c r="G49" s="57">
        <f>G22-G24-G26</f>
        <v>10.4</v>
      </c>
      <c r="H49" s="57">
        <f>H22-H24-H26</f>
        <v>72.80000000000001</v>
      </c>
      <c r="I49" s="376">
        <f t="shared" si="14"/>
        <v>92.80000000000001</v>
      </c>
      <c r="J49" s="377">
        <f t="shared" si="15"/>
        <v>240.79999999999998</v>
      </c>
      <c r="K49" s="378">
        <f t="shared" si="15"/>
        <v>100.29999999999998</v>
      </c>
      <c r="L49" s="378">
        <f t="shared" si="15"/>
        <v>472.3</v>
      </c>
      <c r="M49" s="348">
        <f t="shared" si="22"/>
        <v>813.4</v>
      </c>
      <c r="N49" s="379">
        <f t="shared" si="23"/>
        <v>27794.399999999998</v>
      </c>
      <c r="O49" s="130">
        <f t="shared" si="24"/>
        <v>12287.699999999999</v>
      </c>
      <c r="P49" s="130">
        <f t="shared" si="25"/>
        <v>60506.100000000006</v>
      </c>
      <c r="Q49" s="113">
        <f aca="true" t="shared" si="27" ref="Q49:Q54">N49+O49+P49</f>
        <v>100588.20000000001</v>
      </c>
      <c r="R49" s="379">
        <f t="shared" si="26"/>
        <v>1065.6</v>
      </c>
      <c r="S49" s="130">
        <f t="shared" si="16"/>
        <v>1154.4</v>
      </c>
      <c r="T49" s="130">
        <f t="shared" si="17"/>
        <v>8080.800000000001</v>
      </c>
      <c r="U49" s="113">
        <f t="shared" si="18"/>
        <v>10300.800000000001</v>
      </c>
      <c r="V49" s="379">
        <f t="shared" si="19"/>
        <v>26728.8</v>
      </c>
      <c r="W49" s="130">
        <f t="shared" si="19"/>
        <v>11133.3</v>
      </c>
      <c r="X49" s="130">
        <f t="shared" si="19"/>
        <v>52425.3</v>
      </c>
      <c r="Y49" s="113">
        <f t="shared" si="20"/>
        <v>90287.4</v>
      </c>
    </row>
    <row r="50" spans="1:25" ht="12.75">
      <c r="A50" s="266" t="s">
        <v>53</v>
      </c>
      <c r="B50" s="260">
        <f>B23-B27</f>
        <v>34</v>
      </c>
      <c r="C50" s="57">
        <f>C23-C27</f>
        <v>46.2</v>
      </c>
      <c r="D50" s="57">
        <f>D23-D27</f>
        <v>0</v>
      </c>
      <c r="E50" s="376">
        <f t="shared" si="21"/>
        <v>80.2</v>
      </c>
      <c r="F50" s="260">
        <f>F23-F27</f>
        <v>0</v>
      </c>
      <c r="G50" s="57">
        <f>G23-G27</f>
        <v>0</v>
      </c>
      <c r="H50" s="57">
        <f>H23-H27</f>
        <v>654.8</v>
      </c>
      <c r="I50" s="376">
        <f t="shared" si="14"/>
        <v>654.8</v>
      </c>
      <c r="J50" s="377">
        <f t="shared" si="15"/>
        <v>34</v>
      </c>
      <c r="K50" s="378">
        <f t="shared" si="15"/>
        <v>46.2</v>
      </c>
      <c r="L50" s="378">
        <f t="shared" si="15"/>
        <v>-654.8</v>
      </c>
      <c r="M50" s="348">
        <f t="shared" si="22"/>
        <v>-574.5999999999999</v>
      </c>
      <c r="N50" s="379">
        <f t="shared" si="23"/>
        <v>3774</v>
      </c>
      <c r="O50" s="130">
        <f t="shared" si="24"/>
        <v>5128.200000000001</v>
      </c>
      <c r="P50" s="130">
        <f t="shared" si="25"/>
        <v>0</v>
      </c>
      <c r="Q50" s="113">
        <f t="shared" si="27"/>
        <v>8902.2</v>
      </c>
      <c r="R50" s="379">
        <f t="shared" si="26"/>
        <v>0</v>
      </c>
      <c r="S50" s="130">
        <f t="shared" si="16"/>
        <v>0</v>
      </c>
      <c r="T50" s="130">
        <f t="shared" si="17"/>
        <v>72682.79999999999</v>
      </c>
      <c r="U50" s="113">
        <f t="shared" si="18"/>
        <v>72682.79999999999</v>
      </c>
      <c r="V50" s="379">
        <f t="shared" si="19"/>
        <v>3774</v>
      </c>
      <c r="W50" s="130">
        <f t="shared" si="19"/>
        <v>5128.200000000001</v>
      </c>
      <c r="X50" s="130">
        <f t="shared" si="19"/>
        <v>-72682.79999999999</v>
      </c>
      <c r="Y50" s="113">
        <f t="shared" si="20"/>
        <v>-63780.59999999999</v>
      </c>
    </row>
    <row r="51" spans="1:25" ht="12.75">
      <c r="A51" s="266" t="s">
        <v>45</v>
      </c>
      <c r="B51" s="260">
        <f>B24-B25</f>
        <v>52.3</v>
      </c>
      <c r="C51" s="57">
        <f>C24-C25</f>
        <v>131.1</v>
      </c>
      <c r="D51" s="57">
        <f>D24-D25</f>
        <v>230.4</v>
      </c>
      <c r="E51" s="376">
        <f t="shared" si="21"/>
        <v>413.79999999999995</v>
      </c>
      <c r="F51" s="260">
        <f>F24-F25</f>
        <v>0.9</v>
      </c>
      <c r="G51" s="57">
        <f>G24-G25</f>
        <v>0</v>
      </c>
      <c r="H51" s="57">
        <f>H24-H25</f>
        <v>23</v>
      </c>
      <c r="I51" s="376">
        <f t="shared" si="14"/>
        <v>23.9</v>
      </c>
      <c r="J51" s="377">
        <f t="shared" si="15"/>
        <v>51.4</v>
      </c>
      <c r="K51" s="378">
        <f t="shared" si="15"/>
        <v>131.1</v>
      </c>
      <c r="L51" s="378">
        <f t="shared" si="15"/>
        <v>207.4</v>
      </c>
      <c r="M51" s="348">
        <f t="shared" si="22"/>
        <v>389.9</v>
      </c>
      <c r="N51" s="379">
        <f t="shared" si="23"/>
        <v>6430.285</v>
      </c>
      <c r="O51" s="130">
        <f t="shared" si="24"/>
        <v>16118.744999999999</v>
      </c>
      <c r="P51" s="130">
        <f t="shared" si="25"/>
        <v>28327.68</v>
      </c>
      <c r="Q51" s="113">
        <f t="shared" si="27"/>
        <v>50876.71</v>
      </c>
      <c r="R51" s="379">
        <f t="shared" si="26"/>
        <v>110.655</v>
      </c>
      <c r="S51" s="130">
        <f t="shared" si="16"/>
        <v>0</v>
      </c>
      <c r="T51" s="130">
        <f t="shared" si="17"/>
        <v>2827.85</v>
      </c>
      <c r="U51" s="113">
        <f t="shared" si="18"/>
        <v>2938.505</v>
      </c>
      <c r="V51" s="379">
        <f t="shared" si="19"/>
        <v>6319.63</v>
      </c>
      <c r="W51" s="130">
        <f t="shared" si="19"/>
        <v>16118.744999999999</v>
      </c>
      <c r="X51" s="130">
        <f t="shared" si="19"/>
        <v>25499.83</v>
      </c>
      <c r="Y51" s="113">
        <f t="shared" si="20"/>
        <v>47938.205</v>
      </c>
    </row>
    <row r="52" spans="1:25" ht="12.75">
      <c r="A52" s="266" t="s">
        <v>42</v>
      </c>
      <c r="B52" s="260">
        <f>B25</f>
        <v>66.5</v>
      </c>
      <c r="C52" s="57">
        <f aca="true" t="shared" si="28" ref="C52:D55">C25</f>
        <v>22.8</v>
      </c>
      <c r="D52" s="57">
        <f t="shared" si="28"/>
        <v>0</v>
      </c>
      <c r="E52" s="376">
        <f t="shared" si="21"/>
        <v>89.3</v>
      </c>
      <c r="F52" s="260">
        <f aca="true" t="shared" si="29" ref="F52:H55">F25</f>
        <v>0</v>
      </c>
      <c r="G52" s="57">
        <f t="shared" si="29"/>
        <v>0</v>
      </c>
      <c r="H52" s="57">
        <f t="shared" si="29"/>
        <v>268.5</v>
      </c>
      <c r="I52" s="376">
        <f t="shared" si="14"/>
        <v>268.5</v>
      </c>
      <c r="J52" s="377">
        <f t="shared" si="15"/>
        <v>66.5</v>
      </c>
      <c r="K52" s="378">
        <f t="shared" si="15"/>
        <v>22.8</v>
      </c>
      <c r="L52" s="378">
        <f t="shared" si="15"/>
        <v>-268.5</v>
      </c>
      <c r="M52" s="348">
        <f t="shared" si="22"/>
        <v>-179.2</v>
      </c>
      <c r="N52" s="379">
        <f t="shared" si="23"/>
        <v>8176.175</v>
      </c>
      <c r="O52" s="130">
        <f t="shared" si="24"/>
        <v>2803.26</v>
      </c>
      <c r="P52" s="130">
        <f t="shared" si="25"/>
        <v>0</v>
      </c>
      <c r="Q52" s="113">
        <f t="shared" si="27"/>
        <v>10979.435000000001</v>
      </c>
      <c r="R52" s="379">
        <f t="shared" si="26"/>
        <v>0</v>
      </c>
      <c r="S52" s="130">
        <f t="shared" si="16"/>
        <v>0</v>
      </c>
      <c r="T52" s="130">
        <f t="shared" si="17"/>
        <v>33012.075000000004</v>
      </c>
      <c r="U52" s="113">
        <f t="shared" si="18"/>
        <v>33012.075000000004</v>
      </c>
      <c r="V52" s="379">
        <f t="shared" si="19"/>
        <v>8176.175</v>
      </c>
      <c r="W52" s="130">
        <f t="shared" si="19"/>
        <v>2803.26</v>
      </c>
      <c r="X52" s="130">
        <f t="shared" si="19"/>
        <v>-33012.075000000004</v>
      </c>
      <c r="Y52" s="113">
        <f t="shared" si="20"/>
        <v>-22032.640000000003</v>
      </c>
    </row>
    <row r="53" spans="1:25" ht="12.75">
      <c r="A53" s="266" t="s">
        <v>43</v>
      </c>
      <c r="B53" s="260">
        <f>B26</f>
        <v>19.8</v>
      </c>
      <c r="C53" s="57">
        <f t="shared" si="28"/>
        <v>1.6</v>
      </c>
      <c r="D53" s="57">
        <f t="shared" si="28"/>
        <v>0</v>
      </c>
      <c r="E53" s="376">
        <f t="shared" si="21"/>
        <v>21.400000000000002</v>
      </c>
      <c r="F53" s="260">
        <f t="shared" si="29"/>
        <v>0</v>
      </c>
      <c r="G53" s="57">
        <f t="shared" si="29"/>
        <v>0</v>
      </c>
      <c r="H53" s="57">
        <f t="shared" si="29"/>
        <v>0</v>
      </c>
      <c r="I53" s="376">
        <f t="shared" si="14"/>
        <v>0</v>
      </c>
      <c r="J53" s="377">
        <f t="shared" si="15"/>
        <v>19.8</v>
      </c>
      <c r="K53" s="378">
        <f t="shared" si="15"/>
        <v>1.6</v>
      </c>
      <c r="L53" s="378">
        <f t="shared" si="15"/>
        <v>0</v>
      </c>
      <c r="M53" s="348">
        <f t="shared" si="22"/>
        <v>21.400000000000002</v>
      </c>
      <c r="N53" s="379">
        <f t="shared" si="23"/>
        <v>2197.8</v>
      </c>
      <c r="O53" s="130">
        <f t="shared" si="24"/>
        <v>177.60000000000002</v>
      </c>
      <c r="P53" s="130">
        <f t="shared" si="25"/>
        <v>0</v>
      </c>
      <c r="Q53" s="113">
        <f t="shared" si="27"/>
        <v>2375.4</v>
      </c>
      <c r="R53" s="379">
        <f t="shared" si="26"/>
        <v>0</v>
      </c>
      <c r="S53" s="130">
        <f t="shared" si="16"/>
        <v>0</v>
      </c>
      <c r="T53" s="130">
        <f t="shared" si="17"/>
        <v>0</v>
      </c>
      <c r="U53" s="113">
        <f t="shared" si="18"/>
        <v>0</v>
      </c>
      <c r="V53" s="379">
        <f t="shared" si="19"/>
        <v>2197.8</v>
      </c>
      <c r="W53" s="130">
        <f t="shared" si="19"/>
        <v>177.60000000000002</v>
      </c>
      <c r="X53" s="130">
        <f t="shared" si="19"/>
        <v>0</v>
      </c>
      <c r="Y53" s="113">
        <f t="shared" si="20"/>
        <v>2375.4</v>
      </c>
    </row>
    <row r="54" spans="1:25" ht="12.75">
      <c r="A54" s="266" t="s">
        <v>15</v>
      </c>
      <c r="B54" s="260">
        <f>B27</f>
        <v>65.1</v>
      </c>
      <c r="C54" s="57">
        <f t="shared" si="28"/>
        <v>66.6</v>
      </c>
      <c r="D54" s="57">
        <f t="shared" si="28"/>
        <v>661</v>
      </c>
      <c r="E54" s="376">
        <f t="shared" si="21"/>
        <v>792.7</v>
      </c>
      <c r="F54" s="260">
        <f t="shared" si="29"/>
        <v>0</v>
      </c>
      <c r="G54" s="57">
        <f t="shared" si="29"/>
        <v>0</v>
      </c>
      <c r="H54" s="57">
        <f t="shared" si="29"/>
        <v>1.7</v>
      </c>
      <c r="I54" s="376">
        <f t="shared" si="14"/>
        <v>1.7</v>
      </c>
      <c r="J54" s="380">
        <f t="shared" si="15"/>
        <v>65.1</v>
      </c>
      <c r="K54" s="378">
        <f t="shared" si="15"/>
        <v>66.6</v>
      </c>
      <c r="L54" s="378">
        <f t="shared" si="15"/>
        <v>659.3</v>
      </c>
      <c r="M54" s="348">
        <f t="shared" si="22"/>
        <v>791</v>
      </c>
      <c r="N54" s="379">
        <f t="shared" si="23"/>
        <v>7226.099999999999</v>
      </c>
      <c r="O54" s="130">
        <f t="shared" si="24"/>
        <v>7392.599999999999</v>
      </c>
      <c r="P54" s="130">
        <f t="shared" si="25"/>
        <v>73371</v>
      </c>
      <c r="Q54" s="113">
        <f t="shared" si="27"/>
        <v>87989.7</v>
      </c>
      <c r="R54" s="379">
        <f t="shared" si="26"/>
        <v>0</v>
      </c>
      <c r="S54" s="130">
        <f t="shared" si="16"/>
        <v>0</v>
      </c>
      <c r="T54" s="130">
        <f t="shared" si="17"/>
        <v>188.7</v>
      </c>
      <c r="U54" s="113">
        <f t="shared" si="18"/>
        <v>188.7</v>
      </c>
      <c r="V54" s="379">
        <f t="shared" si="19"/>
        <v>7226.099999999999</v>
      </c>
      <c r="W54" s="130">
        <f t="shared" si="19"/>
        <v>7392.599999999999</v>
      </c>
      <c r="X54" s="130">
        <f t="shared" si="19"/>
        <v>73182.3</v>
      </c>
      <c r="Y54" s="113">
        <f t="shared" si="20"/>
        <v>87801</v>
      </c>
    </row>
    <row r="55" spans="1:25" ht="12.75">
      <c r="A55" s="266" t="s">
        <v>51</v>
      </c>
      <c r="B55" s="260">
        <f>B28</f>
        <v>377.5</v>
      </c>
      <c r="C55" s="57">
        <f t="shared" si="28"/>
        <v>296.7</v>
      </c>
      <c r="D55" s="57">
        <f t="shared" si="28"/>
        <v>76.8</v>
      </c>
      <c r="E55" s="376">
        <f>B55+C55+D55</f>
        <v>751</v>
      </c>
      <c r="F55" s="260">
        <f t="shared" si="29"/>
        <v>0</v>
      </c>
      <c r="G55" s="57">
        <f t="shared" si="29"/>
        <v>0</v>
      </c>
      <c r="H55" s="57">
        <f t="shared" si="29"/>
        <v>751</v>
      </c>
      <c r="I55" s="376">
        <f>F55+G55+H55</f>
        <v>751</v>
      </c>
      <c r="J55" s="380">
        <f>B55-F55</f>
        <v>377.5</v>
      </c>
      <c r="K55" s="378">
        <f>C55-G55</f>
        <v>296.7</v>
      </c>
      <c r="L55" s="378">
        <f>D55-H55</f>
        <v>-674.2</v>
      </c>
      <c r="M55" s="348">
        <f>J55+K55+L55</f>
        <v>0</v>
      </c>
      <c r="N55" s="379">
        <f t="shared" si="23"/>
        <v>63559.675</v>
      </c>
      <c r="O55" s="130">
        <f t="shared" si="24"/>
        <v>49955.379</v>
      </c>
      <c r="P55" s="130">
        <f t="shared" si="25"/>
        <v>12930.816</v>
      </c>
      <c r="Q55" s="113">
        <f>N55+O55+P55</f>
        <v>126445.87000000001</v>
      </c>
      <c r="R55" s="379">
        <f t="shared" si="26"/>
        <v>0</v>
      </c>
      <c r="S55" s="130">
        <f t="shared" si="16"/>
        <v>0</v>
      </c>
      <c r="T55" s="130">
        <f>H55*H13</f>
        <v>126445.87000000001</v>
      </c>
      <c r="U55" s="113">
        <f t="shared" si="18"/>
        <v>126445.87000000001</v>
      </c>
      <c r="V55" s="379">
        <f>N55-R55</f>
        <v>63559.675</v>
      </c>
      <c r="W55" s="130">
        <f>O55-S55</f>
        <v>49955.379</v>
      </c>
      <c r="X55" s="130">
        <f>P55-T55</f>
        <v>-113515.054</v>
      </c>
      <c r="Y55" s="113">
        <f t="shared" si="20"/>
        <v>0</v>
      </c>
    </row>
    <row r="56" spans="1:25" ht="13.5" thickBot="1">
      <c r="A56" s="267" t="s">
        <v>56</v>
      </c>
      <c r="B56" s="487">
        <f aca="true" t="shared" si="30" ref="B56:Y56">SUM(B47:B55)</f>
        <v>1452.7999999999997</v>
      </c>
      <c r="C56" s="382">
        <f t="shared" si="30"/>
        <v>1193.5</v>
      </c>
      <c r="D56" s="488">
        <f t="shared" si="30"/>
        <v>3341.1000000000004</v>
      </c>
      <c r="E56" s="383">
        <f t="shared" si="30"/>
        <v>5987.4</v>
      </c>
      <c r="F56" s="381">
        <f t="shared" si="30"/>
        <v>78.9</v>
      </c>
      <c r="G56" s="382">
        <f t="shared" si="30"/>
        <v>10.4</v>
      </c>
      <c r="H56" s="382">
        <f t="shared" si="30"/>
        <v>4082.2</v>
      </c>
      <c r="I56" s="383">
        <f t="shared" si="30"/>
        <v>4171.5</v>
      </c>
      <c r="J56" s="381">
        <f t="shared" si="30"/>
        <v>1373.8999999999999</v>
      </c>
      <c r="K56" s="382">
        <f t="shared" si="30"/>
        <v>1183.1</v>
      </c>
      <c r="L56" s="382">
        <f t="shared" si="30"/>
        <v>-741.1</v>
      </c>
      <c r="M56" s="384">
        <f t="shared" si="30"/>
        <v>1815.9000000000003</v>
      </c>
      <c r="N56" s="385">
        <f t="shared" si="30"/>
        <v>145768.03500000003</v>
      </c>
      <c r="O56" s="228">
        <f t="shared" si="30"/>
        <v>128430.084</v>
      </c>
      <c r="P56" s="228">
        <f t="shared" si="30"/>
        <v>266848.196</v>
      </c>
      <c r="Q56" s="229">
        <f t="shared" si="30"/>
        <v>541046.3150000001</v>
      </c>
      <c r="R56" s="385">
        <f t="shared" si="30"/>
        <v>5654.255</v>
      </c>
      <c r="S56" s="228">
        <f t="shared" si="30"/>
        <v>1154.4</v>
      </c>
      <c r="T56" s="228">
        <f t="shared" si="30"/>
        <v>399202.095</v>
      </c>
      <c r="U56" s="229">
        <f t="shared" si="30"/>
        <v>406010.75</v>
      </c>
      <c r="V56" s="385">
        <f t="shared" si="30"/>
        <v>140113.78</v>
      </c>
      <c r="W56" s="228">
        <f t="shared" si="30"/>
        <v>127275.684</v>
      </c>
      <c r="X56" s="228">
        <f t="shared" si="30"/>
        <v>-132353.89899999998</v>
      </c>
      <c r="Y56" s="229">
        <f t="shared" si="30"/>
        <v>135035.565</v>
      </c>
    </row>
    <row r="57" spans="1:25" ht="13.5" thickBot="1">
      <c r="A57" s="10"/>
      <c r="B57" s="386"/>
      <c r="C57" s="386"/>
      <c r="D57" s="386"/>
      <c r="E57" s="387"/>
      <c r="F57" s="386"/>
      <c r="G57" s="386"/>
      <c r="H57" s="386"/>
      <c r="I57" s="387"/>
      <c r="J57" s="386"/>
      <c r="K57" s="386"/>
      <c r="L57" s="386"/>
      <c r="M57" s="38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 t="s">
        <v>24</v>
      </c>
    </row>
    <row r="58" spans="1:10" ht="15.75" thickBot="1">
      <c r="A58" s="135" t="s">
        <v>110</v>
      </c>
      <c r="B58" s="18"/>
      <c r="C58" s="18"/>
      <c r="D58" s="18"/>
      <c r="F58" s="71"/>
      <c r="G58" s="35"/>
      <c r="H58" s="35"/>
      <c r="I58" s="9"/>
      <c r="J58" s="18"/>
    </row>
    <row r="59" spans="1:10" ht="13.5" thickBot="1">
      <c r="A59" s="698" t="s">
        <v>3</v>
      </c>
      <c r="B59" s="710" t="s">
        <v>206</v>
      </c>
      <c r="C59" s="711"/>
      <c r="D59" s="712"/>
      <c r="E59" s="713" t="s">
        <v>220</v>
      </c>
      <c r="F59" s="714"/>
      <c r="G59" s="714"/>
      <c r="H59" s="715"/>
      <c r="I59" s="9"/>
      <c r="J59" s="18"/>
    </row>
    <row r="60" spans="1:10" ht="69.75" customHeight="1" thickBot="1">
      <c r="A60" s="699"/>
      <c r="B60" s="388" t="s">
        <v>207</v>
      </c>
      <c r="C60" s="94" t="s">
        <v>208</v>
      </c>
      <c r="D60" s="108" t="s">
        <v>209</v>
      </c>
      <c r="E60" s="242" t="s">
        <v>207</v>
      </c>
      <c r="F60" s="94" t="s">
        <v>208</v>
      </c>
      <c r="G60" s="94" t="s">
        <v>209</v>
      </c>
      <c r="H60" s="389" t="s">
        <v>111</v>
      </c>
      <c r="I60" s="93" t="s">
        <v>221</v>
      </c>
      <c r="J60" s="96" t="s">
        <v>222</v>
      </c>
    </row>
    <row r="61" spans="1:10" ht="12.75">
      <c r="A61" s="390" t="s">
        <v>52</v>
      </c>
      <c r="B61" s="260">
        <f>N20-N21-N28</f>
        <v>0</v>
      </c>
      <c r="C61" s="57">
        <f>O20-O21-O28</f>
        <v>0</v>
      </c>
      <c r="D61" s="244">
        <f>P20-P21-P28</f>
        <v>0</v>
      </c>
      <c r="E61" s="391">
        <f>B61*D5</f>
        <v>0</v>
      </c>
      <c r="F61" s="60">
        <f>C61*F5</f>
        <v>0</v>
      </c>
      <c r="G61" s="60">
        <f aca="true" t="shared" si="31" ref="G61:G68">D61*H5</f>
        <v>0</v>
      </c>
      <c r="H61" s="261">
        <f>E61+F61+G61</f>
        <v>0</v>
      </c>
      <c r="I61" s="391">
        <v>0</v>
      </c>
      <c r="J61" s="261">
        <v>0</v>
      </c>
    </row>
    <row r="62" spans="1:10" ht="12.75">
      <c r="A62" s="293" t="s">
        <v>55</v>
      </c>
      <c r="B62" s="260">
        <f>N21-N22-N23</f>
        <v>0</v>
      </c>
      <c r="C62" s="57">
        <f>O21-O22-O23</f>
        <v>0</v>
      </c>
      <c r="D62" s="244">
        <f>P21-P22-P23</f>
        <v>0</v>
      </c>
      <c r="E62" s="391">
        <f>B62*D6</f>
        <v>0</v>
      </c>
      <c r="F62" s="60">
        <f aca="true" t="shared" si="32" ref="F62:F68">C62*F6</f>
        <v>0</v>
      </c>
      <c r="G62" s="60">
        <f t="shared" si="31"/>
        <v>0</v>
      </c>
      <c r="H62" s="261">
        <f aca="true" t="shared" si="33" ref="H62:H68">E62+F62+G62</f>
        <v>0</v>
      </c>
      <c r="I62" s="391">
        <v>0</v>
      </c>
      <c r="J62" s="261">
        <v>0</v>
      </c>
    </row>
    <row r="63" spans="1:10" ht="12.75">
      <c r="A63" s="293" t="s">
        <v>54</v>
      </c>
      <c r="B63" s="260">
        <f>N22-N24-N26</f>
        <v>0</v>
      </c>
      <c r="C63" s="57">
        <f>O22-O24-O26</f>
        <v>0</v>
      </c>
      <c r="D63" s="244">
        <f>P22-P24-P26</f>
        <v>0</v>
      </c>
      <c r="E63" s="391">
        <f>B63*D7</f>
        <v>0</v>
      </c>
      <c r="F63" s="60">
        <f t="shared" si="32"/>
        <v>0</v>
      </c>
      <c r="G63" s="60">
        <f t="shared" si="31"/>
        <v>0</v>
      </c>
      <c r="H63" s="261">
        <f t="shared" si="33"/>
        <v>0</v>
      </c>
      <c r="I63" s="391">
        <v>0</v>
      </c>
      <c r="J63" s="261">
        <v>0</v>
      </c>
    </row>
    <row r="64" spans="1:10" ht="12.75">
      <c r="A64" s="293" t="s">
        <v>53</v>
      </c>
      <c r="B64" s="260">
        <f>N23-N27</f>
        <v>0</v>
      </c>
      <c r="C64" s="57">
        <f>O23-O27</f>
        <v>0</v>
      </c>
      <c r="D64" s="244">
        <f>P23-P27</f>
        <v>0</v>
      </c>
      <c r="E64" s="391">
        <f aca="true" t="shared" si="34" ref="E64:E69">B64*D8</f>
        <v>0</v>
      </c>
      <c r="F64" s="60">
        <f t="shared" si="32"/>
        <v>0</v>
      </c>
      <c r="G64" s="60">
        <f t="shared" si="31"/>
        <v>0</v>
      </c>
      <c r="H64" s="261">
        <f t="shared" si="33"/>
        <v>0</v>
      </c>
      <c r="I64" s="391">
        <v>0</v>
      </c>
      <c r="J64" s="261">
        <v>0</v>
      </c>
    </row>
    <row r="65" spans="1:10" ht="12.75">
      <c r="A65" s="293" t="s">
        <v>45</v>
      </c>
      <c r="B65" s="260">
        <f>N24-N25</f>
        <v>0</v>
      </c>
      <c r="C65" s="57">
        <f>O24-O25</f>
        <v>0</v>
      </c>
      <c r="D65" s="244">
        <f>P24-P25</f>
        <v>0</v>
      </c>
      <c r="E65" s="391">
        <f t="shared" si="34"/>
        <v>0</v>
      </c>
      <c r="F65" s="60">
        <f t="shared" si="32"/>
        <v>0</v>
      </c>
      <c r="G65" s="60">
        <f t="shared" si="31"/>
        <v>0</v>
      </c>
      <c r="H65" s="261">
        <f t="shared" si="33"/>
        <v>0</v>
      </c>
      <c r="I65" s="391">
        <v>0</v>
      </c>
      <c r="J65" s="261">
        <v>0</v>
      </c>
    </row>
    <row r="66" spans="1:10" ht="12.75">
      <c r="A66" s="293" t="s">
        <v>42</v>
      </c>
      <c r="B66" s="260">
        <f aca="true" t="shared" si="35" ref="B66:D69">N25</f>
        <v>0</v>
      </c>
      <c r="C66" s="57">
        <f t="shared" si="35"/>
        <v>0</v>
      </c>
      <c r="D66" s="244">
        <f t="shared" si="35"/>
        <v>0</v>
      </c>
      <c r="E66" s="391">
        <f t="shared" si="34"/>
        <v>0</v>
      </c>
      <c r="F66" s="60">
        <f t="shared" si="32"/>
        <v>0</v>
      </c>
      <c r="G66" s="60">
        <f t="shared" si="31"/>
        <v>0</v>
      </c>
      <c r="H66" s="261">
        <f t="shared" si="33"/>
        <v>0</v>
      </c>
      <c r="I66" s="391">
        <v>0</v>
      </c>
      <c r="J66" s="261">
        <v>0</v>
      </c>
    </row>
    <row r="67" spans="1:10" ht="12.75">
      <c r="A67" s="293" t="s">
        <v>43</v>
      </c>
      <c r="B67" s="260">
        <f t="shared" si="35"/>
        <v>0</v>
      </c>
      <c r="C67" s="57">
        <f t="shared" si="35"/>
        <v>0</v>
      </c>
      <c r="D67" s="244">
        <f t="shared" si="35"/>
        <v>0</v>
      </c>
      <c r="E67" s="391">
        <f t="shared" si="34"/>
        <v>0</v>
      </c>
      <c r="F67" s="60">
        <f t="shared" si="32"/>
        <v>0</v>
      </c>
      <c r="G67" s="60">
        <f t="shared" si="31"/>
        <v>0</v>
      </c>
      <c r="H67" s="261">
        <f t="shared" si="33"/>
        <v>0</v>
      </c>
      <c r="I67" s="391">
        <v>0</v>
      </c>
      <c r="J67" s="261">
        <v>0</v>
      </c>
    </row>
    <row r="68" spans="1:10" ht="12.75">
      <c r="A68" s="293" t="s">
        <v>15</v>
      </c>
      <c r="B68" s="260">
        <f t="shared" si="35"/>
        <v>0</v>
      </c>
      <c r="C68" s="57">
        <f t="shared" si="35"/>
        <v>0</v>
      </c>
      <c r="D68" s="244">
        <f t="shared" si="35"/>
        <v>0</v>
      </c>
      <c r="E68" s="391">
        <f t="shared" si="34"/>
        <v>0</v>
      </c>
      <c r="F68" s="60">
        <f t="shared" si="32"/>
        <v>0</v>
      </c>
      <c r="G68" s="60">
        <f t="shared" si="31"/>
        <v>0</v>
      </c>
      <c r="H68" s="261">
        <f t="shared" si="33"/>
        <v>0</v>
      </c>
      <c r="I68" s="391">
        <v>0</v>
      </c>
      <c r="J68" s="261">
        <v>0</v>
      </c>
    </row>
    <row r="69" spans="1:10" ht="12.75">
      <c r="A69" s="293" t="s">
        <v>51</v>
      </c>
      <c r="B69" s="260">
        <f t="shared" si="35"/>
        <v>0</v>
      </c>
      <c r="C69" s="57">
        <f t="shared" si="35"/>
        <v>0</v>
      </c>
      <c r="D69" s="244">
        <f t="shared" si="35"/>
        <v>26.4</v>
      </c>
      <c r="E69" s="391">
        <f t="shared" si="34"/>
        <v>0</v>
      </c>
      <c r="F69" s="60">
        <f>C69*F13</f>
        <v>0</v>
      </c>
      <c r="G69" s="60">
        <f>D69*H13</f>
        <v>4444.968</v>
      </c>
      <c r="H69" s="261">
        <f>E69+F69+G69</f>
        <v>4444.968</v>
      </c>
      <c r="I69" s="391">
        <f>H69*0</f>
        <v>0</v>
      </c>
      <c r="J69" s="261">
        <f>H69*1</f>
        <v>4444.968</v>
      </c>
    </row>
    <row r="70" spans="1:10" ht="13.5" thickBot="1">
      <c r="A70" s="392" t="s">
        <v>56</v>
      </c>
      <c r="B70" s="381">
        <f aca="true" t="shared" si="36" ref="B70:J70">SUM(B61:B69)</f>
        <v>0</v>
      </c>
      <c r="C70" s="382">
        <f t="shared" si="36"/>
        <v>0</v>
      </c>
      <c r="D70" s="384">
        <f t="shared" si="36"/>
        <v>26.4</v>
      </c>
      <c r="E70" s="393">
        <f t="shared" si="36"/>
        <v>0</v>
      </c>
      <c r="F70" s="394">
        <f t="shared" si="36"/>
        <v>0</v>
      </c>
      <c r="G70" s="394">
        <f t="shared" si="36"/>
        <v>4444.968</v>
      </c>
      <c r="H70" s="297">
        <f t="shared" si="36"/>
        <v>4444.968</v>
      </c>
      <c r="I70" s="385">
        <f t="shared" si="36"/>
        <v>0</v>
      </c>
      <c r="J70" s="297">
        <f t="shared" si="36"/>
        <v>4444.968</v>
      </c>
    </row>
  </sheetData>
  <sheetProtection/>
  <mergeCells count="21">
    <mergeCell ref="N45:Q45"/>
    <mergeCell ref="R45:U45"/>
    <mergeCell ref="V45:Y45"/>
    <mergeCell ref="A59:A60"/>
    <mergeCell ref="B59:D59"/>
    <mergeCell ref="E59:H59"/>
    <mergeCell ref="A31:B31"/>
    <mergeCell ref="A32:A33"/>
    <mergeCell ref="B32:E32"/>
    <mergeCell ref="F32:I32"/>
    <mergeCell ref="J32:M32"/>
    <mergeCell ref="A45:A46"/>
    <mergeCell ref="B45:E45"/>
    <mergeCell ref="F45:I45"/>
    <mergeCell ref="J45:M45"/>
    <mergeCell ref="A17:C17"/>
    <mergeCell ref="A18:A19"/>
    <mergeCell ref="B18:E18"/>
    <mergeCell ref="F18:I18"/>
    <mergeCell ref="J18:M18"/>
    <mergeCell ref="N18:Q18"/>
  </mergeCells>
  <printOptions/>
  <pageMargins left="0.5" right="0.5" top="0.5" bottom="0.2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12" width="16.7109375" style="0" customWidth="1"/>
  </cols>
  <sheetData>
    <row r="1" spans="1:12" ht="18.75">
      <c r="A1" s="3" t="s">
        <v>267</v>
      </c>
      <c r="B1" s="6"/>
      <c r="C1" s="6"/>
      <c r="D1" s="6"/>
      <c r="E1" s="53" t="s">
        <v>24</v>
      </c>
      <c r="F1" s="53" t="s">
        <v>24</v>
      </c>
      <c r="G1" s="53" t="s">
        <v>24</v>
      </c>
      <c r="H1" s="6"/>
      <c r="I1" s="6"/>
      <c r="J1" s="6"/>
      <c r="K1" s="6"/>
      <c r="L1" s="6"/>
    </row>
    <row r="2" spans="1:12" ht="13.5" thickBot="1">
      <c r="A2" s="39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06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97" t="s">
        <v>1</v>
      </c>
      <c r="B4" s="98">
        <v>0.153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99" t="s">
        <v>2</v>
      </c>
      <c r="B5" s="100">
        <v>0.0591</v>
      </c>
      <c r="C5" s="6"/>
      <c r="D5" s="396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1" t="s">
        <v>4</v>
      </c>
      <c r="B6" s="101">
        <v>1.0849</v>
      </c>
      <c r="C6" s="6"/>
      <c r="D6" s="6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1" t="s">
        <v>38</v>
      </c>
      <c r="B7" s="102">
        <v>159868.6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1" t="s">
        <v>39</v>
      </c>
      <c r="B8" s="103" t="s">
        <v>224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1" t="s">
        <v>40</v>
      </c>
      <c r="B9" s="104">
        <f>0.8*'BRA Load Pricing Results'!B9</f>
        <v>3255.5480000000002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2" t="s">
        <v>23</v>
      </c>
      <c r="B10" s="105">
        <f>(B15-B9)/(G55*B6)</f>
        <v>1.0179941490095952</v>
      </c>
      <c r="C10" s="397" t="s">
        <v>24</v>
      </c>
      <c r="D10" s="398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159"/>
      <c r="C12" s="399"/>
      <c r="D12" s="35"/>
      <c r="E12" s="36"/>
      <c r="F12" s="25"/>
      <c r="G12" s="495" t="s">
        <v>24</v>
      </c>
      <c r="H12" s="25"/>
      <c r="I12" s="65"/>
      <c r="J12" s="65"/>
      <c r="K12" s="65"/>
      <c r="L12" s="48"/>
    </row>
    <row r="13" spans="1:12" ht="15.75" thickBot="1">
      <c r="A13" s="235" t="s">
        <v>69</v>
      </c>
      <c r="B13" s="35"/>
      <c r="C13" s="35"/>
      <c r="D13" s="35"/>
      <c r="E13" s="198" t="s">
        <v>24</v>
      </c>
      <c r="F13" s="607"/>
      <c r="G13" s="607"/>
      <c r="H13" s="607"/>
      <c r="I13" s="65"/>
      <c r="J13" s="65"/>
      <c r="K13" s="65"/>
      <c r="L13" s="48"/>
    </row>
    <row r="14" spans="1:12" ht="99.75" customHeight="1">
      <c r="A14" s="93" t="s">
        <v>3</v>
      </c>
      <c r="B14" s="95" t="s">
        <v>225</v>
      </c>
      <c r="C14" s="95" t="s">
        <v>226</v>
      </c>
      <c r="D14" s="95" t="s">
        <v>227</v>
      </c>
      <c r="E14" s="95" t="s">
        <v>228</v>
      </c>
      <c r="F14" s="95" t="s">
        <v>125</v>
      </c>
      <c r="G14" s="95" t="s">
        <v>229</v>
      </c>
      <c r="H14" s="95" t="s">
        <v>230</v>
      </c>
      <c r="I14" s="95" t="s">
        <v>231</v>
      </c>
      <c r="J14" s="95" t="s">
        <v>232</v>
      </c>
      <c r="K14" s="96" t="s">
        <v>233</v>
      </c>
      <c r="L14" s="73"/>
    </row>
    <row r="15" spans="1:12" ht="12.75">
      <c r="A15" s="51" t="s">
        <v>6</v>
      </c>
      <c r="B15" s="157">
        <f>'BRA Resource Clearing Results'!E18-'1stIA Resource Clearing Results'!M20+B9</f>
        <v>166000.84800000003</v>
      </c>
      <c r="C15" s="166">
        <f>('BRA Resource Clearing Results'!E18*'BRA Resource Clearing Results'!B5-'1stIA Resource Clearing Results'!M20*'1stIA Resource Clearing Results'!B5)/('BRA Resource Clearing Results'!E18-'1stIA Resource Clearing Results'!M20)</f>
        <v>119.38286972342674</v>
      </c>
      <c r="D15" s="166">
        <f>('BRA Resource Clearing Results'!E18*'BRA Resource Clearing Results'!C5-'1stIA Resource Clearing Results'!M20*'1stIA Resource Clearing Results'!C5)/('BRA Resource Clearing Results'!E18-'1stIA Resource Clearing Results'!M20)</f>
        <v>0</v>
      </c>
      <c r="E15" s="158">
        <f>('BRA Resource Clearing Results'!C18+'BRA Resource Clearing Results'!D18)*'BRA Resource Clearing Results'!E5-('1stIA Resource Clearing Results'!K20+'1stIA Resource Clearing Results'!L20)*'1stIA Resource Clearing Results'!E5</f>
        <v>2711782.44</v>
      </c>
      <c r="F15" s="166">
        <f>E15/B15</f>
        <v>16.335955344035348</v>
      </c>
      <c r="G15" s="158">
        <f>'BRA Resource Clearing Results'!D18*'BRA Resource Clearing Results'!G5-'1stIA Resource Clearing Results'!L20*'1stIA Resource Clearing Results'!G5</f>
        <v>0</v>
      </c>
      <c r="H15" s="166">
        <f>G15/B15</f>
        <v>0</v>
      </c>
      <c r="I15" s="158">
        <f>'BRA Resource Clearing Results'!J43+'1stIA Resource Clearing Results'!I61</f>
        <v>163.20000000000002</v>
      </c>
      <c r="J15" s="230">
        <f>I15/B15</f>
        <v>0.0009831275078787548</v>
      </c>
      <c r="K15" s="236">
        <f aca="true" t="shared" si="0" ref="K15:K20">C15+D15+F15+H15+J15</f>
        <v>135.71980819496997</v>
      </c>
      <c r="L15" s="196"/>
    </row>
    <row r="16" spans="1:12" ht="12.75">
      <c r="A16" s="51" t="s">
        <v>30</v>
      </c>
      <c r="B16" s="157">
        <f>K36+K40+(SUM(K46:K54))</f>
        <v>67676.3693453627</v>
      </c>
      <c r="C16" s="166">
        <f>$C$15</f>
        <v>119.38286972342674</v>
      </c>
      <c r="D16" s="166">
        <f>D15+('BRA Resource Clearing Results'!E19*'BRA Resource Clearing Results'!C6-'1stIA Resource Clearing Results'!M21*'1stIA Resource Clearing Results'!C6)/('BRA Resource Clearing Results'!E19-'1stIA Resource Clearing Results'!M21)</f>
        <v>31.00992591156472</v>
      </c>
      <c r="E16" s="158">
        <f>('BRA Resource Clearing Results'!C19+'BRA Resource Clearing Results'!D19)*('BRA Resource Clearing Results'!E6-'BRA Resource Clearing Results'!E5)-('1stIA Resource Clearing Results'!K21+'1stIA Resource Clearing Results'!L21)*('1stIA Resource Clearing Results'!E6-'1stIA Resource Clearing Results'!E5)</f>
        <v>0</v>
      </c>
      <c r="F16" s="166">
        <f>F15+(E16/B16)</f>
        <v>16.335955344035348</v>
      </c>
      <c r="G16" s="158">
        <f>'BRA Resource Clearing Results'!D19*('BRA Resource Clearing Results'!G6-'BRA Resource Clearing Results'!G5)-'1stIA Resource Clearing Results'!L21*('1stIA Resource Clearing Results'!G6-'1stIA Resource Clearing Results'!G5)</f>
        <v>0</v>
      </c>
      <c r="H16" s="166">
        <f>H15+(G16/B16)</f>
        <v>0</v>
      </c>
      <c r="I16" s="158">
        <f>'BRA Resource Clearing Results'!J44+'1stIA Resource Clearing Results'!I62</f>
        <v>0</v>
      </c>
      <c r="J16" s="230">
        <f>J15+I16/B16</f>
        <v>0.0009831275078787548</v>
      </c>
      <c r="K16" s="236">
        <f>C16+D16+F16+H16+J16</f>
        <v>166.72973410653466</v>
      </c>
      <c r="L16" s="196"/>
    </row>
    <row r="17" spans="1:12" ht="12.75">
      <c r="A17" s="51" t="s">
        <v>41</v>
      </c>
      <c r="B17" s="157">
        <f>K36+K46+K47+K49+K53+K54</f>
        <v>36897.05200084146</v>
      </c>
      <c r="C17" s="166">
        <f>$C$15</f>
        <v>119.38286972342674</v>
      </c>
      <c r="D17" s="166">
        <f>D16+('BRA Resource Clearing Results'!E20*'BRA Resource Clearing Results'!C7-'1stIA Resource Clearing Results'!M22*'1stIA Resource Clearing Results'!C7)/('BRA Resource Clearing Results'!E20-'1stIA Resource Clearing Results'!M22)</f>
        <v>31.00992591156472</v>
      </c>
      <c r="E17" s="158">
        <f>('BRA Resource Clearing Results'!C20+'BRA Resource Clearing Results'!D20)*('BRA Resource Clearing Results'!E7-'BRA Resource Clearing Results'!E6)-('1stIA Resource Clearing Results'!K22+'1stIA Resource Clearing Results'!L22)*('1stIA Resource Clearing Results'!E7-'1stIA Resource Clearing Results'!E6)</f>
        <v>0</v>
      </c>
      <c r="F17" s="166">
        <f>F16+(E17/B17)</f>
        <v>16.335955344035348</v>
      </c>
      <c r="G17" s="158">
        <f>'BRA Resource Clearing Results'!D20*('BRA Resource Clearing Results'!G7-'BRA Resource Clearing Results'!G6)-'1stIA Resource Clearing Results'!L22*('1stIA Resource Clearing Results'!G7-'1stIA Resource Clearing Results'!G6)</f>
        <v>0</v>
      </c>
      <c r="H17" s="166">
        <f>H16+(G17/B17)</f>
        <v>0</v>
      </c>
      <c r="I17" s="158">
        <f>'BRA Resource Clearing Results'!J45+'1stIA Resource Clearing Results'!I63</f>
        <v>0</v>
      </c>
      <c r="J17" s="230">
        <f>J16+I17/B17</f>
        <v>0.0009831275078787548</v>
      </c>
      <c r="K17" s="236">
        <f t="shared" si="0"/>
        <v>166.72973410653466</v>
      </c>
      <c r="L17" s="196"/>
    </row>
    <row r="18" spans="1:12" ht="12.75">
      <c r="A18" s="51" t="s">
        <v>5</v>
      </c>
      <c r="B18" s="157">
        <f>K40+K51</f>
        <v>15673.152723290783</v>
      </c>
      <c r="C18" s="166">
        <f>$C$15</f>
        <v>119.38286972342674</v>
      </c>
      <c r="D18" s="166">
        <f>D16+('BRA Resource Clearing Results'!E21*'BRA Resource Clearing Results'!C8-'1stIA Resource Clearing Results'!M23*'1stIA Resource Clearing Results'!C8)/('BRA Resource Clearing Results'!E21-'1stIA Resource Clearing Results'!M23)</f>
        <v>31.00992591156472</v>
      </c>
      <c r="E18" s="158">
        <f>('BRA Resource Clearing Results'!C21+'BRA Resource Clearing Results'!D21)*('BRA Resource Clearing Results'!E8-'BRA Resource Clearing Results'!E6)-('1stIA Resource Clearing Results'!K23+'1stIA Resource Clearing Results'!L23)*('1stIA Resource Clearing Results'!E8-'1stIA Resource Clearing Results'!E6)</f>
        <v>0</v>
      </c>
      <c r="F18" s="166">
        <f>F16+(E18/B18)</f>
        <v>16.335955344035348</v>
      </c>
      <c r="G18" s="158">
        <f>'BRA Resource Clearing Results'!D21*('BRA Resource Clearing Results'!G8-'BRA Resource Clearing Results'!G6)-'1stIA Resource Clearing Results'!L23*('1stIA Resource Clearing Results'!G8-'1stIA Resource Clearing Results'!G6)</f>
        <v>0</v>
      </c>
      <c r="H18" s="166">
        <f>H16+(G18/B18)</f>
        <v>0</v>
      </c>
      <c r="I18" s="158">
        <f>'BRA Resource Clearing Results'!J46+'1stIA Resource Clearing Results'!I64</f>
        <v>0</v>
      </c>
      <c r="J18" s="230">
        <f>J16+I18/B18</f>
        <v>0.0009831275078787548</v>
      </c>
      <c r="K18" s="236">
        <f t="shared" si="0"/>
        <v>166.72973410653466</v>
      </c>
      <c r="L18" s="196"/>
    </row>
    <row r="19" spans="1:12" ht="12.75">
      <c r="A19" s="51" t="s">
        <v>15</v>
      </c>
      <c r="B19" s="157">
        <f>K51</f>
        <v>7582.696977784699</v>
      </c>
      <c r="C19" s="166">
        <f>$C$15</f>
        <v>119.38286972342674</v>
      </c>
      <c r="D19" s="166">
        <f>D18+('BRA Resource Clearing Results'!E25*'BRA Resource Clearing Results'!C12-'1stIA Resource Clearing Results'!M27*'1stIA Resource Clearing Results'!C12)/('BRA Resource Clearing Results'!E25-'1stIA Resource Clearing Results'!M27)</f>
        <v>31.00992591156472</v>
      </c>
      <c r="E19" s="158">
        <f>('BRA Resource Clearing Results'!C25+'BRA Resource Clearing Results'!D25)*('BRA Resource Clearing Results'!E12-'BRA Resource Clearing Results'!E8)-('1stIA Resource Clearing Results'!K27+'1stIA Resource Clearing Results'!L27)*('1stIA Resource Clearing Results'!E12-'1stIA Resource Clearing Results'!E8)</f>
        <v>0</v>
      </c>
      <c r="F19" s="166">
        <f>F18+(E19/B19)</f>
        <v>16.335955344035348</v>
      </c>
      <c r="G19" s="158">
        <f>'BRA Resource Clearing Results'!D25*('BRA Resource Clearing Results'!G12-'BRA Resource Clearing Results'!G8)-'1stIA Resource Clearing Results'!L27*('1stIA Resource Clearing Results'!G12-'1stIA Resource Clearing Results'!G8)</f>
        <v>0</v>
      </c>
      <c r="H19" s="166">
        <f>H18+(G19/B19)</f>
        <v>0</v>
      </c>
      <c r="I19" s="158">
        <f>'BRA Resource Clearing Results'!J50+'1stIA Resource Clearing Results'!I68</f>
        <v>0</v>
      </c>
      <c r="J19" s="230">
        <f>J18+I19/B19</f>
        <v>0.0009831275078787548</v>
      </c>
      <c r="K19" s="236">
        <f t="shared" si="0"/>
        <v>166.72973410653466</v>
      </c>
      <c r="L19" s="196"/>
    </row>
    <row r="20" spans="1:12" ht="13.5" thickBot="1">
      <c r="A20" s="52" t="s">
        <v>51</v>
      </c>
      <c r="B20" s="189">
        <f>K39</f>
        <v>14786.182482815933</v>
      </c>
      <c r="C20" s="460">
        <f>$C$15</f>
        <v>119.38286972342674</v>
      </c>
      <c r="D20" s="237">
        <f>D15+('BRA Resource Clearing Results'!E26*'BRA Resource Clearing Results'!C13-'1stIA Resource Clearing Results'!M28*'1stIA Resource Clearing Results'!C13)/('BRA Resource Clearing Results'!E26-'1stIA Resource Clearing Results'!M28)</f>
        <v>186.08</v>
      </c>
      <c r="E20" s="238">
        <f>('BRA Resource Clearing Results'!C26+'BRA Resource Clearing Results'!D26)*('BRA Resource Clearing Results'!E13-'BRA Resource Clearing Results'!E5)-('1stIA Resource Clearing Results'!K28+'1stIA Resource Clearing Results'!L28)*('1stIA Resource Clearing Results'!E13-'1stIA Resource Clearing Results'!E5)</f>
        <v>0</v>
      </c>
      <c r="F20" s="460">
        <f>F19+(E20/B20)</f>
        <v>16.335955344035348</v>
      </c>
      <c r="G20" s="238">
        <f>'BRA Resource Clearing Results'!D26*('BRA Resource Clearing Results'!G13-'BRA Resource Clearing Results'!G5)-'1stIA Resource Clearing Results'!L28*('1stIA Resource Clearing Results'!G13-'1stIA Resource Clearing Results'!G5)+1267.596</f>
        <v>323456.976</v>
      </c>
      <c r="H20" s="460">
        <f>H19+(G20/B20)</f>
        <v>21.875624514705688</v>
      </c>
      <c r="I20" s="238">
        <f>'BRA Resource Clearing Results'!J51+'1stIA Resource Clearing Results'!I69</f>
        <v>535.5</v>
      </c>
      <c r="J20" s="461">
        <f>J19+I20/B20</f>
        <v>0.03719937200657491</v>
      </c>
      <c r="K20" s="462">
        <f t="shared" si="0"/>
        <v>343.7116489541744</v>
      </c>
      <c r="L20" s="196"/>
    </row>
    <row r="21" spans="1:12" ht="12.75">
      <c r="A21" s="12" t="s">
        <v>127</v>
      </c>
      <c r="B21" s="35"/>
      <c r="C21" s="18"/>
      <c r="D21" s="400" t="s">
        <v>24</v>
      </c>
      <c r="E21" s="47" t="s">
        <v>24</v>
      </c>
      <c r="F21" s="71"/>
      <c r="H21" s="78"/>
      <c r="I21" s="78"/>
      <c r="J21" s="356"/>
      <c r="K21" s="78"/>
      <c r="L21" s="15"/>
    </row>
    <row r="22" spans="1:12" ht="12.75">
      <c r="A22" s="32" t="s">
        <v>234</v>
      </c>
      <c r="B22" s="35"/>
      <c r="C22" s="18"/>
      <c r="D22" s="18"/>
      <c r="E22" s="18"/>
      <c r="F22" s="71"/>
      <c r="H22" s="35"/>
      <c r="I22" s="35"/>
      <c r="J22" s="18"/>
      <c r="K22" s="35"/>
      <c r="L22" s="15"/>
    </row>
    <row r="23" spans="1:12" ht="12.75">
      <c r="A23" s="32"/>
      <c r="B23" s="35"/>
      <c r="C23" s="18"/>
      <c r="D23" s="18"/>
      <c r="E23" s="18"/>
      <c r="F23" s="71"/>
      <c r="H23" s="35"/>
      <c r="I23" s="35"/>
      <c r="J23" s="18"/>
      <c r="K23" s="35"/>
      <c r="L23" s="15"/>
    </row>
    <row r="24" spans="1:12" ht="39.75" customHeight="1" thickBot="1">
      <c r="A24" s="402" t="s">
        <v>104</v>
      </c>
      <c r="B24" s="6"/>
      <c r="C24" s="6" t="s">
        <v>24</v>
      </c>
      <c r="D24" s="68" t="s">
        <v>24</v>
      </c>
      <c r="E24" s="19" t="s">
        <v>24</v>
      </c>
      <c r="F24" s="6"/>
      <c r="G24" s="6"/>
      <c r="H24" s="6"/>
      <c r="I24" s="6"/>
      <c r="J24" s="39" t="s">
        <v>24</v>
      </c>
      <c r="K24" s="54" t="s">
        <v>24</v>
      </c>
      <c r="L24" s="6"/>
    </row>
    <row r="25" spans="1:12" ht="99.75" customHeight="1">
      <c r="A25" s="403" t="s">
        <v>72</v>
      </c>
      <c r="B25" s="95" t="s">
        <v>131</v>
      </c>
      <c r="C25" s="95" t="s">
        <v>235</v>
      </c>
      <c r="D25" s="94" t="s">
        <v>236</v>
      </c>
      <c r="E25" s="95" t="s">
        <v>237</v>
      </c>
      <c r="F25" s="95" t="s">
        <v>238</v>
      </c>
      <c r="G25" s="95" t="s">
        <v>239</v>
      </c>
      <c r="H25" s="95" t="s">
        <v>240</v>
      </c>
      <c r="I25" s="94" t="s">
        <v>241</v>
      </c>
      <c r="J25" s="94" t="s">
        <v>242</v>
      </c>
      <c r="K25" s="108" t="s">
        <v>243</v>
      </c>
      <c r="L25" s="6"/>
    </row>
    <row r="26" spans="1:12" ht="12.75">
      <c r="A26" s="51" t="s">
        <v>45</v>
      </c>
      <c r="B26" s="44"/>
      <c r="C26" s="157">
        <f>'BRA Resource Clearing Results'!E34-'1stIA Resource Clearing Results'!M51</f>
        <v>2698.6999999999994</v>
      </c>
      <c r="D26" s="60">
        <f>('BRA Resource Clearing Results'!E22*'BRA Resource Clearing Results'!C9-'1stIA Resource Clearing Results'!M24*'1stIA Resource Clearing Results'!C9)/('BRA Resource Clearing Results'!E22-'1stIA Resource Clearing Results'!M24)</f>
        <v>-0.38622892730591646</v>
      </c>
      <c r="E26" s="60">
        <f>('BRA Resource Clearing Results'!C22+'BRA Resource Clearing Results'!D22)*('BRA Resource Clearing Results'!E9-'BRA Resource Clearing Results'!E7)-('1stIA Resource Clearing Results'!K24+'1stIA Resource Clearing Results'!L24)*('1stIA Resource Clearing Results'!E9-'1stIA Resource Clearing Results'!E7)</f>
        <v>0</v>
      </c>
      <c r="F26" s="60"/>
      <c r="G26" s="60">
        <f>'BRA Resource Clearing Results'!D22*('BRA Resource Clearing Results'!G9-'BRA Resource Clearing Results'!G7)-'1stIA Resource Clearing Results'!L24*('1stIA Resource Clearing Results'!G9-'1stIA Resource Clearing Results'!G7)</f>
        <v>0</v>
      </c>
      <c r="H26" s="60"/>
      <c r="I26" s="83">
        <f>'BRA Resource Clearing Results'!J47+'1stIA Resource Clearing Results'!I65</f>
        <v>0</v>
      </c>
      <c r="J26" s="44"/>
      <c r="K26" s="110"/>
      <c r="L26" s="6"/>
    </row>
    <row r="27" spans="1:12" ht="12.75">
      <c r="A27" s="51" t="s">
        <v>42</v>
      </c>
      <c r="B27" s="44"/>
      <c r="C27" s="157">
        <f>'BRA Resource Clearing Results'!E35-'1stIA Resource Clearing Results'!M52</f>
        <v>3820.4</v>
      </c>
      <c r="D27" s="60">
        <f>D26+('BRA Resource Clearing Results'!E23*'BRA Resource Clearing Results'!C10-'1stIA Resource Clearing Results'!M25*'1stIA Resource Clearing Results'!C10)/('BRA Resource Clearing Results'!E23-'1stIA Resource Clearing Results'!M25)</f>
        <v>-0.38622892730591646</v>
      </c>
      <c r="E27" s="60">
        <f>('BRA Resource Clearing Results'!C23+'BRA Resource Clearing Results'!D23)*('BRA Resource Clearing Results'!E10-'BRA Resource Clearing Results'!E9)-('1stIA Resource Clearing Results'!K25+'1stIA Resource Clearing Results'!L25)*('1stIA Resource Clearing Results'!E10-'1stIA Resource Clearing Results'!E9)</f>
        <v>0</v>
      </c>
      <c r="F27" s="60"/>
      <c r="G27" s="60">
        <f>'BRA Resource Clearing Results'!D23*('BRA Resource Clearing Results'!G10-'BRA Resource Clearing Results'!G9)-'1stIA Resource Clearing Results'!L25*('1stIA Resource Clearing Results'!G10-'1stIA Resource Clearing Results'!G9)</f>
        <v>0</v>
      </c>
      <c r="H27" s="60"/>
      <c r="I27" s="83">
        <f>'BRA Resource Clearing Results'!J48+'1stIA Resource Clearing Results'!I66</f>
        <v>0</v>
      </c>
      <c r="J27" s="44"/>
      <c r="K27" s="110"/>
      <c r="L27" s="6"/>
    </row>
    <row r="28" spans="1:12" ht="12.75">
      <c r="A28" s="404" t="s">
        <v>8</v>
      </c>
      <c r="B28" s="168">
        <f>K17</f>
        <v>166.72973410653466</v>
      </c>
      <c r="C28" s="63">
        <f>C27+C26</f>
        <v>6519.099999999999</v>
      </c>
      <c r="D28" s="169">
        <f>(C27*D27+C26*D26)/C28</f>
        <v>-0.38622892730591646</v>
      </c>
      <c r="E28" s="500">
        <f>E26+E27</f>
        <v>0</v>
      </c>
      <c r="F28" s="169">
        <f>E28/K53</f>
        <v>0</v>
      </c>
      <c r="G28" s="500">
        <f>G26+G27</f>
        <v>0</v>
      </c>
      <c r="H28" s="169">
        <f>G28/K53</f>
        <v>0</v>
      </c>
      <c r="I28" s="83">
        <f>I26+I27</f>
        <v>0</v>
      </c>
      <c r="J28" s="170">
        <f>I28/K53</f>
        <v>0</v>
      </c>
      <c r="K28" s="164">
        <f>B28+D28+F28+H28+J28</f>
        <v>166.34350517922874</v>
      </c>
      <c r="L28" s="195"/>
    </row>
    <row r="29" spans="1:12" ht="12.75">
      <c r="A29" s="51" t="s">
        <v>44</v>
      </c>
      <c r="B29" s="44"/>
      <c r="C29" s="63">
        <f>'BRA Load Pricing Results'!C28</f>
        <v>3114.1</v>
      </c>
      <c r="D29" s="60">
        <v>0</v>
      </c>
      <c r="E29" s="60">
        <v>0</v>
      </c>
      <c r="F29" s="60"/>
      <c r="G29" s="60">
        <v>0</v>
      </c>
      <c r="H29" s="60"/>
      <c r="I29" s="83">
        <v>0</v>
      </c>
      <c r="J29" s="44"/>
      <c r="K29" s="113"/>
      <c r="L29" s="6"/>
    </row>
    <row r="30" spans="1:12" ht="12.75">
      <c r="A30" s="51" t="s">
        <v>43</v>
      </c>
      <c r="B30" s="44"/>
      <c r="C30" s="157">
        <f>'BRA Resource Clearing Results'!E36-'1stIA Resource Clearing Results'!M53</f>
        <v>1700.6999999999998</v>
      </c>
      <c r="D30" s="60">
        <f>('BRA Resource Clearing Results'!E24*'BRA Resource Clearing Results'!C11-'1stIA Resource Clearing Results'!M26*'1stIA Resource Clearing Results'!C11)/('BRA Resource Clearing Results'!E24-'1stIA Resource Clearing Results'!M26)</f>
        <v>0</v>
      </c>
      <c r="E30" s="60">
        <f>('BRA Resource Clearing Results'!C24+'BRA Resource Clearing Results'!D24)*('BRA Resource Clearing Results'!E11-'BRA Resource Clearing Results'!E7)-('1stIA Resource Clearing Results'!K26+'1stIA Resource Clearing Results'!L26)*('1stIA Resource Clearing Results'!E11-'1stIA Resource Clearing Results'!E7)</f>
        <v>0</v>
      </c>
      <c r="F30" s="82"/>
      <c r="G30" s="60">
        <f>'BRA Resource Clearing Results'!D24*('BRA Resource Clearing Results'!G11-'BRA Resource Clearing Results'!G7)-'1stIA Resource Clearing Results'!L26*('1stIA Resource Clearing Results'!G11-'1stIA Resource Clearing Results'!G7)</f>
        <v>0</v>
      </c>
      <c r="H30" s="82"/>
      <c r="I30" s="83">
        <f>'BRA Resource Clearing Results'!J49+'1stIA Resource Clearing Results'!I67</f>
        <v>0</v>
      </c>
      <c r="J30" s="44"/>
      <c r="K30" s="113"/>
      <c r="L30" s="6"/>
    </row>
    <row r="31" spans="1:12" ht="13.5" thickBot="1">
      <c r="A31" s="405" t="s">
        <v>17</v>
      </c>
      <c r="B31" s="171">
        <f>K17</f>
        <v>166.72973410653466</v>
      </c>
      <c r="C31" s="111">
        <f>C29+C30</f>
        <v>4814.799999999999</v>
      </c>
      <c r="D31" s="172">
        <f>(C30*D30+C29*D29)/C31</f>
        <v>0</v>
      </c>
      <c r="E31" s="501">
        <f>E29+E30</f>
        <v>0</v>
      </c>
      <c r="F31" s="172">
        <f>E31/K46</f>
        <v>0</v>
      </c>
      <c r="G31" s="501">
        <f>G29+G30</f>
        <v>0</v>
      </c>
      <c r="H31" s="172">
        <f>G31/K46</f>
        <v>0</v>
      </c>
      <c r="I31" s="173">
        <f>I29+I30</f>
        <v>0</v>
      </c>
      <c r="J31" s="174">
        <f>I31/K46</f>
        <v>0</v>
      </c>
      <c r="K31" s="165">
        <f>B31+D31+F31+H31+J31</f>
        <v>166.72973410653466</v>
      </c>
      <c r="L31" s="195"/>
    </row>
    <row r="32" spans="1:12" ht="12.75">
      <c r="A32" s="401" t="s">
        <v>234</v>
      </c>
      <c r="B32" s="401"/>
      <c r="C32" s="401"/>
      <c r="D32" s="401"/>
      <c r="E32" s="401"/>
      <c r="F32" s="401"/>
      <c r="G32" s="401"/>
      <c r="H32" s="53"/>
      <c r="I32" s="53"/>
      <c r="J32" s="6"/>
      <c r="K32" s="6"/>
      <c r="L32" s="6"/>
    </row>
    <row r="33" spans="1:12" ht="13.5" thickBot="1">
      <c r="A33" s="10"/>
      <c r="B33" s="9"/>
      <c r="C33" s="9"/>
      <c r="D33" s="9" t="s">
        <v>24</v>
      </c>
      <c r="E33" s="62" t="s">
        <v>24</v>
      </c>
      <c r="F33" s="43" t="s">
        <v>24</v>
      </c>
      <c r="G33" s="5"/>
      <c r="H33" s="5"/>
      <c r="I33" s="5"/>
      <c r="J33" s="5"/>
      <c r="K33" s="5"/>
      <c r="L33" s="13"/>
    </row>
    <row r="34" spans="1:12" ht="19.5" thickBot="1">
      <c r="A34" s="92" t="s">
        <v>244</v>
      </c>
      <c r="B34" s="3"/>
      <c r="C34" s="2"/>
      <c r="D34" s="2"/>
      <c r="E34" s="76"/>
      <c r="F34" s="76"/>
      <c r="G34" s="406"/>
      <c r="H34" s="76"/>
      <c r="I34" s="76"/>
      <c r="J34" s="76"/>
      <c r="K34" s="76"/>
      <c r="L34" s="42"/>
    </row>
    <row r="35" spans="1:13" ht="79.5" customHeight="1" thickBot="1">
      <c r="A35" s="407" t="s">
        <v>7</v>
      </c>
      <c r="B35" s="408" t="s">
        <v>28</v>
      </c>
      <c r="C35" s="408" t="s">
        <v>27</v>
      </c>
      <c r="D35" s="408" t="s">
        <v>36</v>
      </c>
      <c r="E35" s="408" t="s">
        <v>270</v>
      </c>
      <c r="F35" s="408" t="s">
        <v>22</v>
      </c>
      <c r="G35" s="408" t="s">
        <v>271</v>
      </c>
      <c r="H35" s="408" t="s">
        <v>245</v>
      </c>
      <c r="I35" s="409" t="s">
        <v>23</v>
      </c>
      <c r="J35" s="409" t="s">
        <v>246</v>
      </c>
      <c r="K35" s="409" t="s">
        <v>247</v>
      </c>
      <c r="L35" s="410" t="s">
        <v>248</v>
      </c>
      <c r="M35" s="407" t="s">
        <v>7</v>
      </c>
    </row>
    <row r="36" spans="1:13" ht="12.75">
      <c r="A36" s="97" t="s">
        <v>16</v>
      </c>
      <c r="B36" s="411" t="s">
        <v>30</v>
      </c>
      <c r="C36" s="411" t="s">
        <v>41</v>
      </c>
      <c r="D36" s="411"/>
      <c r="E36" s="412">
        <v>2600</v>
      </c>
      <c r="F36" s="413">
        <f>G36/E36</f>
        <v>1.05</v>
      </c>
      <c r="G36" s="473">
        <v>2730</v>
      </c>
      <c r="H36" s="479">
        <f>0.8*'BRA Load Pricing Results'!H35</f>
        <v>59.39874445491494</v>
      </c>
      <c r="I36" s="476">
        <f>$B$10</f>
        <v>1.0179941490095952</v>
      </c>
      <c r="J36" s="415">
        <f>I36*F36</f>
        <v>1.068893856460075</v>
      </c>
      <c r="K36" s="414">
        <f>E36*J36*$B$6+H36</f>
        <v>3074.4704011261065</v>
      </c>
      <c r="L36" s="416">
        <f>K17</f>
        <v>166.72973410653466</v>
      </c>
      <c r="M36" s="97" t="s">
        <v>16</v>
      </c>
    </row>
    <row r="37" spans="1:13" ht="12.75">
      <c r="A37" s="51" t="s">
        <v>249</v>
      </c>
      <c r="B37" s="85"/>
      <c r="C37" s="85"/>
      <c r="D37" s="85"/>
      <c r="E37" s="417">
        <v>11107.7</v>
      </c>
      <c r="F37" s="418">
        <v>1.04353771504191</v>
      </c>
      <c r="G37" s="474">
        <f>E37*F37</f>
        <v>11591.303877371025</v>
      </c>
      <c r="H37" s="480">
        <f>0.8*'BRA Load Pricing Results'!H36</f>
        <v>252.49966979863234</v>
      </c>
      <c r="I37" s="477">
        <f aca="true" t="shared" si="1" ref="I37:I54">$B$10</f>
        <v>1.0179941490095952</v>
      </c>
      <c r="J37" s="81">
        <f>I37*F37</f>
        <v>1.0623152881835067</v>
      </c>
      <c r="K37" s="79">
        <f>E37*J37*$B$6+H37</f>
        <v>13054.18896815917</v>
      </c>
      <c r="L37" s="162">
        <f>K15</f>
        <v>135.71980819496997</v>
      </c>
      <c r="M37" s="51" t="s">
        <v>32</v>
      </c>
    </row>
    <row r="38" spans="1:13" ht="12.75">
      <c r="A38" s="51" t="s">
        <v>19</v>
      </c>
      <c r="B38" s="85" t="s">
        <v>24</v>
      </c>
      <c r="C38" s="85"/>
      <c r="D38" s="85"/>
      <c r="E38" s="417">
        <v>8210</v>
      </c>
      <c r="F38" s="418">
        <f>G38/E38</f>
        <v>1.0520097442143728</v>
      </c>
      <c r="G38" s="474">
        <v>8637</v>
      </c>
      <c r="H38" s="480">
        <f>0.8*'BRA Load Pricing Results'!H37</f>
        <v>190.09770026101296</v>
      </c>
      <c r="I38" s="477">
        <f t="shared" si="1"/>
        <v>1.0179941490095952</v>
      </c>
      <c r="J38" s="81">
        <f>I38*F38</f>
        <v>1.0709397643113123</v>
      </c>
      <c r="K38" s="79">
        <f>E38*J38*$B$6+H38</f>
        <v>9728.989238235037</v>
      </c>
      <c r="L38" s="162">
        <f>K15</f>
        <v>135.71980819496997</v>
      </c>
      <c r="M38" s="51" t="s">
        <v>19</v>
      </c>
    </row>
    <row r="39" spans="1:13" ht="12.75">
      <c r="A39" s="51" t="s">
        <v>51</v>
      </c>
      <c r="B39" s="85"/>
      <c r="C39" s="85"/>
      <c r="D39" s="85"/>
      <c r="E39" s="417">
        <v>12660</v>
      </c>
      <c r="F39" s="418">
        <f>G39/E39</f>
        <v>1.0368878357030016</v>
      </c>
      <c r="G39" s="474">
        <v>13127</v>
      </c>
      <c r="H39" s="480">
        <f>0.8*'BRA Load Pricing Results'!H38</f>
        <v>288.4368281922213</v>
      </c>
      <c r="I39" s="477">
        <f t="shared" si="1"/>
        <v>1.0179941490095952</v>
      </c>
      <c r="J39" s="81">
        <f>I39*F39</f>
        <v>1.055545749924878</v>
      </c>
      <c r="K39" s="79">
        <f>E39*J39*$B$6+H39</f>
        <v>14786.182482815933</v>
      </c>
      <c r="L39" s="162">
        <f>K20</f>
        <v>343.7116489541744</v>
      </c>
      <c r="M39" s="51" t="s">
        <v>51</v>
      </c>
    </row>
    <row r="40" spans="1:13" ht="12.75">
      <c r="A40" s="51" t="s">
        <v>11</v>
      </c>
      <c r="B40" s="85" t="s">
        <v>30</v>
      </c>
      <c r="C40" s="85" t="s">
        <v>5</v>
      </c>
      <c r="D40" s="85"/>
      <c r="E40" s="417">
        <v>6870</v>
      </c>
      <c r="F40" s="418">
        <f>G40/E40</f>
        <v>1.045414847161572</v>
      </c>
      <c r="G40" s="474">
        <v>7182</v>
      </c>
      <c r="H40" s="480">
        <f>0.8*'BRA Load Pricing Results'!H39</f>
        <v>158.49800257110394</v>
      </c>
      <c r="I40" s="477">
        <f t="shared" si="1"/>
        <v>1.0179941490095952</v>
      </c>
      <c r="J40" s="81">
        <f>I40*F40</f>
        <v>1.0642261976982406</v>
      </c>
      <c r="K40" s="79">
        <f aca="true" t="shared" si="2" ref="K40:K54">E40*J40*$B$6+H40</f>
        <v>8090.455745506085</v>
      </c>
      <c r="L40" s="162">
        <f>K18</f>
        <v>166.72973410653466</v>
      </c>
      <c r="M40" s="51" t="s">
        <v>11</v>
      </c>
    </row>
    <row r="41" spans="1:13" ht="12.75">
      <c r="A41" s="51" t="s">
        <v>20</v>
      </c>
      <c r="B41" s="85"/>
      <c r="C41" s="85"/>
      <c r="D41" s="85"/>
      <c r="E41" s="417">
        <v>21650</v>
      </c>
      <c r="F41" s="418">
        <f>G41/E41</f>
        <v>1.0607852193995382</v>
      </c>
      <c r="G41" s="474">
        <v>22966</v>
      </c>
      <c r="H41" s="480">
        <f>0.8*'BRA Load Pricing Results'!H40</f>
        <v>511.74135853424525</v>
      </c>
      <c r="I41" s="477">
        <f t="shared" si="1"/>
        <v>1.0179941490095952</v>
      </c>
      <c r="J41" s="81">
        <f aca="true" t="shared" si="3" ref="J41:J53">I41*F41</f>
        <v>1.0798731467045897</v>
      </c>
      <c r="K41" s="79">
        <f t="shared" si="2"/>
        <v>25875.893617549114</v>
      </c>
      <c r="L41" s="162">
        <f>K15</f>
        <v>135.71980819496997</v>
      </c>
      <c r="M41" s="51" t="s">
        <v>20</v>
      </c>
    </row>
    <row r="42" spans="1:13" ht="12.75">
      <c r="A42" s="51" t="s">
        <v>21</v>
      </c>
      <c r="B42" s="85"/>
      <c r="C42" s="85"/>
      <c r="D42" s="85"/>
      <c r="E42" s="417">
        <v>3230</v>
      </c>
      <c r="F42" s="418">
        <f>G42/E42</f>
        <v>1.0746130030959753</v>
      </c>
      <c r="G42" s="474">
        <v>3471</v>
      </c>
      <c r="H42" s="480">
        <f>0.8*'BRA Load Pricing Results'!H41</f>
        <v>75.96958248749267</v>
      </c>
      <c r="I42" s="477">
        <f t="shared" si="1"/>
        <v>1.0179941490095952</v>
      </c>
      <c r="J42" s="81">
        <f t="shared" si="3"/>
        <v>1.0939497496013328</v>
      </c>
      <c r="K42" s="79">
        <f t="shared" si="2"/>
        <v>3909.4178316837224</v>
      </c>
      <c r="L42" s="162">
        <f>K15</f>
        <v>135.71980819496997</v>
      </c>
      <c r="M42" s="51" t="s">
        <v>21</v>
      </c>
    </row>
    <row r="43" spans="1:13" ht="12.75">
      <c r="A43" s="51" t="s">
        <v>250</v>
      </c>
      <c r="B43" s="85"/>
      <c r="C43" s="85"/>
      <c r="D43" s="85"/>
      <c r="E43" s="417">
        <v>4379.5</v>
      </c>
      <c r="F43" s="418">
        <v>1.04751908396947</v>
      </c>
      <c r="G43" s="474">
        <f>E43*F43</f>
        <v>4587.609828244294</v>
      </c>
      <c r="H43" s="480">
        <f>0.8*'BRA Load Pricing Results'!H42</f>
        <v>103.43400856897209</v>
      </c>
      <c r="I43" s="477">
        <f t="shared" si="1"/>
        <v>1.0179941490095952</v>
      </c>
      <c r="J43" s="81">
        <f>I43*F43</f>
        <v>1.0663682984568112</v>
      </c>
      <c r="K43" s="79">
        <f>E43*J43*$B$6+H43</f>
        <v>5170.090552527055</v>
      </c>
      <c r="L43" s="162">
        <f>K15</f>
        <v>135.71980819496997</v>
      </c>
      <c r="M43" s="51" t="s">
        <v>66</v>
      </c>
    </row>
    <row r="44" spans="1:13" ht="12.75">
      <c r="A44" s="51" t="s">
        <v>50</v>
      </c>
      <c r="B44" s="85"/>
      <c r="C44" s="85"/>
      <c r="D44" s="85"/>
      <c r="E44" s="417">
        <v>2800</v>
      </c>
      <c r="F44" s="418">
        <f aca="true" t="shared" si="4" ref="F44:F54">G44/E44</f>
        <v>1.0525</v>
      </c>
      <c r="G44" s="474">
        <v>2947</v>
      </c>
      <c r="H44" s="480">
        <f>0.8*'BRA Load Pricing Results'!H43</f>
        <v>64.48075769164258</v>
      </c>
      <c r="I44" s="477">
        <f t="shared" si="1"/>
        <v>1.0179941490095952</v>
      </c>
      <c r="J44" s="81">
        <f t="shared" si="3"/>
        <v>1.0714388418325989</v>
      </c>
      <c r="K44" s="79">
        <f t="shared" si="2"/>
        <v>3319.2119563033652</v>
      </c>
      <c r="L44" s="162">
        <f>K15</f>
        <v>135.71980819496997</v>
      </c>
      <c r="M44" s="51" t="s">
        <v>50</v>
      </c>
    </row>
    <row r="45" spans="1:13" ht="12.75">
      <c r="A45" s="51" t="s">
        <v>33</v>
      </c>
      <c r="B45" s="85"/>
      <c r="C45" s="85"/>
      <c r="D45" s="85"/>
      <c r="E45" s="417">
        <v>18570</v>
      </c>
      <c r="F45" s="418">
        <f t="shared" si="4"/>
        <v>1.0745826602046311</v>
      </c>
      <c r="G45" s="474">
        <v>19955</v>
      </c>
      <c r="H45" s="480">
        <f>0.8*'BRA Load Pricing Results'!H44</f>
        <v>441.765945505457</v>
      </c>
      <c r="I45" s="477">
        <f t="shared" si="1"/>
        <v>1.0179941490095952</v>
      </c>
      <c r="J45" s="81">
        <f t="shared" si="3"/>
        <v>1.0939188607154804</v>
      </c>
      <c r="K45" s="79">
        <f t="shared" si="2"/>
        <v>22480.504007363925</v>
      </c>
      <c r="L45" s="162">
        <f>K15</f>
        <v>135.71980819496997</v>
      </c>
      <c r="M45" s="51" t="s">
        <v>33</v>
      </c>
    </row>
    <row r="46" spans="1:13" ht="12.75">
      <c r="A46" s="51" t="s">
        <v>17</v>
      </c>
      <c r="B46" s="85" t="s">
        <v>30</v>
      </c>
      <c r="C46" s="85" t="s">
        <v>41</v>
      </c>
      <c r="D46" s="85" t="s">
        <v>17</v>
      </c>
      <c r="E46" s="417">
        <v>3950</v>
      </c>
      <c r="F46" s="418">
        <f t="shared" si="4"/>
        <v>1.0481012658227848</v>
      </c>
      <c r="G46" s="474">
        <v>4140</v>
      </c>
      <c r="H46" s="480">
        <f>0.8*'BRA Load Pricing Results'!H45</f>
        <v>90.67267206554658</v>
      </c>
      <c r="I46" s="477">
        <f t="shared" si="1"/>
        <v>1.0179941490095952</v>
      </c>
      <c r="J46" s="81">
        <f t="shared" si="3"/>
        <v>1.0669609561771454</v>
      </c>
      <c r="K46" s="79">
        <f t="shared" si="2"/>
        <v>4662.979140424058</v>
      </c>
      <c r="L46" s="162">
        <f>K31</f>
        <v>166.72973410653466</v>
      </c>
      <c r="M46" s="51" t="s">
        <v>17</v>
      </c>
    </row>
    <row r="47" spans="1:13" ht="12.75">
      <c r="A47" s="51" t="s">
        <v>12</v>
      </c>
      <c r="B47" s="85" t="s">
        <v>30</v>
      </c>
      <c r="C47" s="85" t="s">
        <v>41</v>
      </c>
      <c r="D47" s="85"/>
      <c r="E47" s="417">
        <v>5960</v>
      </c>
      <c r="F47" s="418">
        <f t="shared" si="4"/>
        <v>1.0508389261744966</v>
      </c>
      <c r="G47" s="474">
        <v>6263</v>
      </c>
      <c r="H47" s="480">
        <f>0.8*'BRA Load Pricing Results'!H46</f>
        <v>137.88761555548626</v>
      </c>
      <c r="I47" s="477">
        <f t="shared" si="1"/>
        <v>1.0179941490095952</v>
      </c>
      <c r="J47" s="81">
        <f t="shared" si="3"/>
        <v>1.0697478783971635</v>
      </c>
      <c r="K47" s="79">
        <f t="shared" si="2"/>
        <v>7054.881676263059</v>
      </c>
      <c r="L47" s="162">
        <f>K17</f>
        <v>166.72973410653466</v>
      </c>
      <c r="M47" s="51" t="s">
        <v>12</v>
      </c>
    </row>
    <row r="48" spans="1:13" ht="12.75">
      <c r="A48" s="51" t="s">
        <v>13</v>
      </c>
      <c r="B48" s="85" t="s">
        <v>30</v>
      </c>
      <c r="C48" s="85"/>
      <c r="D48" s="85"/>
      <c r="E48" s="417">
        <v>2820</v>
      </c>
      <c r="F48" s="418">
        <f t="shared" si="4"/>
        <v>1.0638297872340425</v>
      </c>
      <c r="G48" s="474">
        <v>3000</v>
      </c>
      <c r="H48" s="480">
        <f>0.8*'BRA Load Pricing Results'!H47</f>
        <v>66.47881417787737</v>
      </c>
      <c r="I48" s="477">
        <f t="shared" si="1"/>
        <v>1.0179941490095952</v>
      </c>
      <c r="J48" s="81">
        <f t="shared" si="3"/>
        <v>1.0829724989463778</v>
      </c>
      <c r="K48" s="79">
        <f t="shared" si="2"/>
        <v>3379.7443709594063</v>
      </c>
      <c r="L48" s="162">
        <f>K16</f>
        <v>166.72973410653466</v>
      </c>
      <c r="M48" s="51" t="s">
        <v>13</v>
      </c>
    </row>
    <row r="49" spans="1:13" ht="12.75">
      <c r="A49" s="51" t="s">
        <v>9</v>
      </c>
      <c r="B49" s="85" t="s">
        <v>30</v>
      </c>
      <c r="C49" s="85" t="s">
        <v>41</v>
      </c>
      <c r="D49" s="85"/>
      <c r="E49" s="417">
        <v>8320</v>
      </c>
      <c r="F49" s="418">
        <f t="shared" si="4"/>
        <v>1.0512019230769232</v>
      </c>
      <c r="G49" s="474">
        <v>8746</v>
      </c>
      <c r="H49" s="480">
        <f>0.8*'BRA Load Pricing Results'!H48</f>
        <v>194.96253344488898</v>
      </c>
      <c r="I49" s="477">
        <f t="shared" si="1"/>
        <v>1.0179941490095952</v>
      </c>
      <c r="J49" s="81">
        <f t="shared" si="3"/>
        <v>1.0701174071199424</v>
      </c>
      <c r="K49" s="79">
        <f t="shared" si="2"/>
        <v>9854.236053315308</v>
      </c>
      <c r="L49" s="162">
        <f>K17</f>
        <v>166.72973410653466</v>
      </c>
      <c r="M49" s="51" t="s">
        <v>9</v>
      </c>
    </row>
    <row r="50" spans="1:13" ht="12.75">
      <c r="A50" s="51" t="s">
        <v>14</v>
      </c>
      <c r="B50" s="85" t="s">
        <v>30</v>
      </c>
      <c r="C50" s="85"/>
      <c r="D50" s="85"/>
      <c r="E50" s="417">
        <v>2740</v>
      </c>
      <c r="F50" s="418">
        <f t="shared" si="4"/>
        <v>1.0802919708029197</v>
      </c>
      <c r="G50" s="474">
        <v>2960</v>
      </c>
      <c r="H50" s="480">
        <f>0.8*'BRA Load Pricing Results'!H49</f>
        <v>65.78383800875223</v>
      </c>
      <c r="I50" s="477">
        <f t="shared" si="1"/>
        <v>1.0179941490095952</v>
      </c>
      <c r="J50" s="81">
        <f t="shared" si="3"/>
        <v>1.0997309054994167</v>
      </c>
      <c r="K50" s="79">
        <f t="shared" si="2"/>
        <v>3334.872520699861</v>
      </c>
      <c r="L50" s="162">
        <f>K16</f>
        <v>166.72973410653466</v>
      </c>
      <c r="M50" s="51" t="s">
        <v>14</v>
      </c>
    </row>
    <row r="51" spans="1:13" ht="12.75">
      <c r="A51" s="51" t="s">
        <v>15</v>
      </c>
      <c r="B51" s="85" t="s">
        <v>30</v>
      </c>
      <c r="C51" s="85" t="s">
        <v>5</v>
      </c>
      <c r="D51" s="85" t="s">
        <v>15</v>
      </c>
      <c r="E51" s="417">
        <v>6540</v>
      </c>
      <c r="F51" s="418">
        <f t="shared" si="4"/>
        <v>1.0292048929663609</v>
      </c>
      <c r="G51" s="474">
        <v>6731</v>
      </c>
      <c r="H51" s="480">
        <f>0.8*'BRA Load Pricing Results'!H50</f>
        <v>148.83349021920733</v>
      </c>
      <c r="I51" s="477">
        <f t="shared" si="1"/>
        <v>1.0179941490095952</v>
      </c>
      <c r="J51" s="81">
        <f t="shared" si="3"/>
        <v>1.047724559171802</v>
      </c>
      <c r="K51" s="79">
        <f t="shared" si="2"/>
        <v>7582.696977784699</v>
      </c>
      <c r="L51" s="162">
        <f>K19</f>
        <v>166.72973410653466</v>
      </c>
      <c r="M51" s="51" t="s">
        <v>15</v>
      </c>
    </row>
    <row r="52" spans="1:13" ht="12.75">
      <c r="A52" s="51" t="s">
        <v>10</v>
      </c>
      <c r="B52" s="85" t="s">
        <v>30</v>
      </c>
      <c r="C52" s="85"/>
      <c r="D52" s="85"/>
      <c r="E52" s="417">
        <f>6890+185</f>
        <v>7075</v>
      </c>
      <c r="F52" s="418">
        <f t="shared" si="4"/>
        <v>1.052862190812721</v>
      </c>
      <c r="G52" s="474">
        <v>7449</v>
      </c>
      <c r="H52" s="480">
        <f>0.8*'BRA Load Pricing Results'!H51</f>
        <v>164.70935208265993</v>
      </c>
      <c r="I52" s="477">
        <f t="shared" si="1"/>
        <v>1.0179941490095952</v>
      </c>
      <c r="J52" s="81">
        <f t="shared" si="3"/>
        <v>1.0718075499607738</v>
      </c>
      <c r="K52" s="79">
        <f t="shared" si="2"/>
        <v>8391.547729571197</v>
      </c>
      <c r="L52" s="162">
        <f>K16</f>
        <v>166.72973410653466</v>
      </c>
      <c r="M52" s="51" t="s">
        <v>10</v>
      </c>
    </row>
    <row r="53" spans="1:13" ht="12.75">
      <c r="A53" s="51" t="s">
        <v>8</v>
      </c>
      <c r="B53" s="85" t="s">
        <v>30</v>
      </c>
      <c r="C53" s="85" t="s">
        <v>41</v>
      </c>
      <c r="D53" s="85" t="s">
        <v>8</v>
      </c>
      <c r="E53" s="417">
        <v>10100</v>
      </c>
      <c r="F53" s="418">
        <f t="shared" si="4"/>
        <v>1.036039603960396</v>
      </c>
      <c r="G53" s="474">
        <v>10464</v>
      </c>
      <c r="H53" s="480">
        <f>0.8*'BRA Load Pricing Results'!H52</f>
        <v>230.73208814954893</v>
      </c>
      <c r="I53" s="477">
        <f t="shared" si="1"/>
        <v>1.0179941490095952</v>
      </c>
      <c r="J53" s="81">
        <f t="shared" si="3"/>
        <v>1.0546822549739014</v>
      </c>
      <c r="K53" s="79">
        <f t="shared" si="2"/>
        <v>11787.402350203523</v>
      </c>
      <c r="L53" s="162">
        <f>K28</f>
        <v>166.34350517922874</v>
      </c>
      <c r="M53" s="51" t="s">
        <v>8</v>
      </c>
    </row>
    <row r="54" spans="1:13" ht="13.5" thickBot="1">
      <c r="A54" s="52" t="s">
        <v>18</v>
      </c>
      <c r="B54" s="89" t="s">
        <v>30</v>
      </c>
      <c r="C54" s="89" t="s">
        <v>41</v>
      </c>
      <c r="D54" s="89"/>
      <c r="E54" s="419">
        <v>400</v>
      </c>
      <c r="F54" s="420">
        <f t="shared" si="4"/>
        <v>1.0275</v>
      </c>
      <c r="G54" s="475">
        <v>411</v>
      </c>
      <c r="H54" s="481">
        <f>0.8*'BRA Load Pricing Results'!H53</f>
        <v>9.164998230337881</v>
      </c>
      <c r="I54" s="478">
        <f t="shared" si="1"/>
        <v>1.0179941490095952</v>
      </c>
      <c r="J54" s="91">
        <f>I54*F54</f>
        <v>1.0459889881073592</v>
      </c>
      <c r="K54" s="241">
        <f t="shared" si="2"/>
        <v>463.0823795094074</v>
      </c>
      <c r="L54" s="163">
        <f>K17</f>
        <v>166.72973410653466</v>
      </c>
      <c r="M54" s="52" t="s">
        <v>18</v>
      </c>
    </row>
    <row r="55" spans="2:12" ht="13.5" thickBot="1">
      <c r="B55" s="12"/>
      <c r="C55" s="6"/>
      <c r="D55" s="6"/>
      <c r="E55" s="421">
        <f>SUM(E36:E54)</f>
        <v>139982.2</v>
      </c>
      <c r="F55" s="422"/>
      <c r="G55" s="423">
        <f>SUM(G36:G54)</f>
        <v>147357.91370561533</v>
      </c>
      <c r="H55" s="423">
        <f>SUM(H36:H54)</f>
        <v>3255.5480000000002</v>
      </c>
      <c r="I55" s="4"/>
      <c r="J55" s="4"/>
      <c r="K55" s="424">
        <f>SUM(K36:K54)</f>
        <v>166000.84800000003</v>
      </c>
      <c r="L55" s="41"/>
    </row>
    <row r="56" spans="1:12" ht="12.75">
      <c r="A56" s="425" t="s">
        <v>92</v>
      </c>
      <c r="B56" s="12"/>
      <c r="C56" s="6"/>
      <c r="D56" s="6"/>
      <c r="E56" s="426"/>
      <c r="F56" s="422"/>
      <c r="G56" s="427" t="s">
        <v>24</v>
      </c>
      <c r="H56" s="427"/>
      <c r="I56" s="4"/>
      <c r="J56" s="4"/>
      <c r="K56" s="428"/>
      <c r="L56" s="429"/>
    </row>
    <row r="57" spans="1:12" ht="12.75">
      <c r="A57" s="716" t="s">
        <v>251</v>
      </c>
      <c r="B57" s="716"/>
      <c r="C57" s="6"/>
      <c r="D57" s="6"/>
      <c r="E57" s="430" t="s">
        <v>24</v>
      </c>
      <c r="F57" s="6"/>
      <c r="G57" s="430" t="s">
        <v>24</v>
      </c>
      <c r="H57" s="6"/>
      <c r="I57" s="6"/>
      <c r="J57" s="6"/>
      <c r="K57" s="6"/>
      <c r="L57" s="429"/>
    </row>
    <row r="58" spans="1:12" ht="12.75">
      <c r="A58" s="274"/>
      <c r="B58" s="274"/>
      <c r="C58" s="6"/>
      <c r="D58" s="6"/>
      <c r="E58" s="430"/>
      <c r="F58" s="6"/>
      <c r="G58" s="430"/>
      <c r="H58" s="6"/>
      <c r="I58" s="6"/>
      <c r="J58" s="6"/>
      <c r="K58" s="6"/>
      <c r="L58" s="429"/>
    </row>
    <row r="59" spans="1:12" ht="30" customHeight="1">
      <c r="A59" s="664" t="s">
        <v>252</v>
      </c>
      <c r="B59" s="664"/>
      <c r="C59" s="664"/>
      <c r="D59" s="664"/>
      <c r="E59" s="664"/>
      <c r="F59" s="664"/>
      <c r="G59" s="664"/>
      <c r="H59" s="664"/>
      <c r="I59" s="664"/>
      <c r="J59" s="664"/>
      <c r="K59" s="664"/>
      <c r="L59" s="664"/>
    </row>
  </sheetData>
  <sheetProtection/>
  <mergeCells count="2">
    <mergeCell ref="A57:B57"/>
    <mergeCell ref="A59:L59"/>
  </mergeCells>
  <printOptions/>
  <pageMargins left="0.45" right="0.45" top="0.5" bottom="0.5" header="0.3" footer="0.3"/>
  <pageSetup fitToHeight="1" fitToWidth="1" horizontalDpi="600" verticalDpi="600" orientation="landscape" paperSize="5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16.7109375" style="0" customWidth="1"/>
  </cols>
  <sheetData>
    <row r="1" spans="1:19" ht="18.75">
      <c r="A1" s="24" t="s">
        <v>268</v>
      </c>
      <c r="B1" s="6"/>
      <c r="C1" s="6"/>
      <c r="D1" s="6"/>
      <c r="E1" s="6"/>
      <c r="F1" s="231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thickBot="1">
      <c r="A2" s="1" t="s">
        <v>24</v>
      </c>
      <c r="B2" s="6"/>
      <c r="C2" s="6" t="s">
        <v>24</v>
      </c>
      <c r="D2" s="39" t="s">
        <v>24</v>
      </c>
      <c r="E2" s="431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thickBot="1">
      <c r="A3" s="106" t="s">
        <v>87</v>
      </c>
      <c r="B3" s="1"/>
      <c r="C3" s="432" t="s">
        <v>24</v>
      </c>
      <c r="D3" s="1"/>
      <c r="E3" s="605" t="s">
        <v>24</v>
      </c>
      <c r="F3" s="605"/>
      <c r="G3" s="6"/>
      <c r="H3" s="6"/>
      <c r="I3" s="6" t="s">
        <v>24</v>
      </c>
      <c r="J3" s="6"/>
      <c r="K3" s="19"/>
      <c r="L3" s="19"/>
      <c r="S3" s="19"/>
    </row>
    <row r="4" spans="1:18" ht="99.75" customHeight="1">
      <c r="A4" s="242" t="s">
        <v>3</v>
      </c>
      <c r="B4" s="95" t="s">
        <v>225</v>
      </c>
      <c r="C4" s="95" t="s">
        <v>253</v>
      </c>
      <c r="D4" s="95" t="s">
        <v>254</v>
      </c>
      <c r="E4" s="95" t="s">
        <v>255</v>
      </c>
      <c r="F4" s="94" t="s">
        <v>90</v>
      </c>
      <c r="G4" s="94" t="s">
        <v>256</v>
      </c>
      <c r="H4" s="94" t="s">
        <v>99</v>
      </c>
      <c r="I4" s="94" t="s">
        <v>257</v>
      </c>
      <c r="J4" s="108" t="s">
        <v>258</v>
      </c>
      <c r="K4" s="23"/>
      <c r="N4" s="23"/>
      <c r="O4" s="23"/>
      <c r="P4" s="23"/>
      <c r="Q4" s="23"/>
      <c r="R4" s="23"/>
    </row>
    <row r="5" spans="1:18" ht="12.75">
      <c r="A5" s="243" t="s">
        <v>30</v>
      </c>
      <c r="B5" s="143">
        <f>'1st IA Load Pricing Results'!B16</f>
        <v>67676.3693453627</v>
      </c>
      <c r="C5" s="79">
        <f>'BRA Resource Clearing Results'!E19-'1stIA Resource Clearing Results'!M21</f>
        <v>64989.899999999994</v>
      </c>
      <c r="D5" s="57">
        <f>'1st IA Load Pricing Results'!H48+'1st IA Load Pricing Results'!H50+'1st IA Load Pricing Results'!H52+D6+D7</f>
        <v>1327.1221489603245</v>
      </c>
      <c r="E5" s="304">
        <f>B5-C5-D5-76.0885403831312</f>
        <v>1283.2586560192558</v>
      </c>
      <c r="F5" s="433">
        <v>0</v>
      </c>
      <c r="G5" s="57">
        <f aca="true" t="shared" si="0" ref="G5:G11">E5-F5</f>
        <v>1283.2586560192558</v>
      </c>
      <c r="H5" s="57">
        <f>'1st IA ICTRs'!B19</f>
        <v>159</v>
      </c>
      <c r="I5" s="57">
        <f>'1st IA ICTRs'!B11+'1st IA ICTRs'!B16</f>
        <v>399</v>
      </c>
      <c r="J5" s="244">
        <f aca="true" t="shared" si="1" ref="J5:J11">G5-H5-I5</f>
        <v>725.2586560192558</v>
      </c>
      <c r="K5" s="140"/>
      <c r="N5" s="9"/>
      <c r="O5" s="9"/>
      <c r="P5" s="9"/>
      <c r="Q5" s="9"/>
      <c r="R5" s="9"/>
    </row>
    <row r="6" spans="1:18" ht="12.75">
      <c r="A6" s="243" t="s">
        <v>41</v>
      </c>
      <c r="B6" s="143">
        <f>'1st IA Load Pricing Results'!B17</f>
        <v>36897.05200084146</v>
      </c>
      <c r="C6" s="79">
        <f>'BRA Resource Clearing Results'!E20-'1stIA Resource Clearing Results'!M22</f>
        <v>32002.200000000004</v>
      </c>
      <c r="D6" s="57">
        <f>'1st IA Load Pricing Results'!H36+'1st IA Load Pricing Results'!H46+'1st IA Load Pricing Results'!H47+'1st IA Load Pricing Results'!H49+'1st IA Load Pricing Results'!H53+'1st IA Load Pricing Results'!H54</f>
        <v>722.8186519007236</v>
      </c>
      <c r="E6" s="434">
        <f>B6-C6-D6</f>
        <v>4172.033348940733</v>
      </c>
      <c r="F6" s="433">
        <v>0</v>
      </c>
      <c r="G6" s="58">
        <f t="shared" si="0"/>
        <v>4172.033348940733</v>
      </c>
      <c r="H6" s="57">
        <v>0</v>
      </c>
      <c r="I6" s="57">
        <f>'1st IA ICTRs'!C11+'1st IA ICTRs'!C16</f>
        <v>898</v>
      </c>
      <c r="J6" s="245">
        <f t="shared" si="1"/>
        <v>3274.033348940733</v>
      </c>
      <c r="K6" s="140"/>
      <c r="N6" s="9" t="s">
        <v>24</v>
      </c>
      <c r="O6" s="9"/>
      <c r="P6" s="9"/>
      <c r="Q6" s="9"/>
      <c r="R6" s="9"/>
    </row>
    <row r="7" spans="1:18" ht="12.75">
      <c r="A7" s="243" t="s">
        <v>5</v>
      </c>
      <c r="B7" s="143">
        <f>'1st IA Load Pricing Results'!B18</f>
        <v>15673.152723290783</v>
      </c>
      <c r="C7" s="79">
        <f>'BRA Resource Clearing Results'!E21-'1stIA Resource Clearing Results'!M23</f>
        <v>10783.4</v>
      </c>
      <c r="D7" s="57">
        <f>'1st IA Load Pricing Results'!H40+'1st IA Load Pricing Results'!H51</f>
        <v>307.33149279031124</v>
      </c>
      <c r="E7" s="434">
        <f>B7-C7-D7</f>
        <v>4582.421230500472</v>
      </c>
      <c r="F7" s="433">
        <v>0</v>
      </c>
      <c r="G7" s="58">
        <f t="shared" si="0"/>
        <v>4582.421230500472</v>
      </c>
      <c r="H7" s="57">
        <v>0</v>
      </c>
      <c r="I7" s="57">
        <f>'1st IA ICTRs'!D11+'1st IA ICTRs'!D16</f>
        <v>237</v>
      </c>
      <c r="J7" s="245">
        <f t="shared" si="1"/>
        <v>4345.421230500472</v>
      </c>
      <c r="K7" s="140"/>
      <c r="N7" s="9"/>
      <c r="O7" s="9"/>
      <c r="P7" s="9"/>
      <c r="Q7" s="9"/>
      <c r="R7" s="9"/>
    </row>
    <row r="8" spans="1:18" ht="12.75">
      <c r="A8" s="243" t="s">
        <v>48</v>
      </c>
      <c r="B8" s="143">
        <f>'1st IA Load Pricing Results'!K53</f>
        <v>11787.402350203523</v>
      </c>
      <c r="C8" s="79">
        <f>'1st IA Load Pricing Results'!C28</f>
        <v>6519.099999999999</v>
      </c>
      <c r="D8" s="57">
        <f>'1st IA Load Pricing Results'!H53</f>
        <v>230.73208814954893</v>
      </c>
      <c r="E8" s="498">
        <f>B8-C8-D8</f>
        <v>5037.570262053975</v>
      </c>
      <c r="F8" s="433">
        <v>0</v>
      </c>
      <c r="G8" s="58">
        <f t="shared" si="0"/>
        <v>5037.570262053975</v>
      </c>
      <c r="H8" s="57">
        <v>0</v>
      </c>
      <c r="I8" s="57">
        <f>'1st IA ICTRs'!F11+'1st IA ICTRs'!F16</f>
        <v>0</v>
      </c>
      <c r="J8" s="245">
        <f t="shared" si="1"/>
        <v>5037.570262053975</v>
      </c>
      <c r="K8" s="140"/>
      <c r="N8" s="9"/>
      <c r="O8" s="9"/>
      <c r="P8" s="9"/>
      <c r="Q8" s="9"/>
      <c r="R8" s="9"/>
    </row>
    <row r="9" spans="1:18" ht="12.75">
      <c r="A9" s="243" t="s">
        <v>46</v>
      </c>
      <c r="B9" s="143">
        <f>'1st IA Load Pricing Results'!K46</f>
        <v>4662.979140424058</v>
      </c>
      <c r="C9" s="79">
        <f>'1st IA Load Pricing Results'!C31</f>
        <v>4814.799999999999</v>
      </c>
      <c r="D9" s="57">
        <f>'1st IA Load Pricing Results'!H46</f>
        <v>90.67267206554658</v>
      </c>
      <c r="E9" s="434">
        <f>MAX(0,B9-C9-D9)</f>
        <v>0</v>
      </c>
      <c r="F9" s="433">
        <v>0</v>
      </c>
      <c r="G9" s="378">
        <f t="shared" si="0"/>
        <v>0</v>
      </c>
      <c r="H9" s="57">
        <v>0</v>
      </c>
      <c r="I9" s="57">
        <v>0</v>
      </c>
      <c r="J9" s="499">
        <f t="shared" si="1"/>
        <v>0</v>
      </c>
      <c r="K9" s="140"/>
      <c r="N9" s="9"/>
      <c r="O9" s="9"/>
      <c r="P9" s="9"/>
      <c r="Q9" s="9"/>
      <c r="R9" s="9"/>
    </row>
    <row r="10" spans="1:18" ht="12.75">
      <c r="A10" s="194" t="s">
        <v>15</v>
      </c>
      <c r="B10" s="143">
        <f>'1st IA Load Pricing Results'!K51</f>
        <v>7582.696977784699</v>
      </c>
      <c r="C10" s="79">
        <f>'BRA Resource Clearing Results'!E25-'1stIA Resource Clearing Results'!M27</f>
        <v>5344.7</v>
      </c>
      <c r="D10" s="57">
        <f>'1st IA Load Pricing Results'!H51</f>
        <v>148.83349021920733</v>
      </c>
      <c r="E10" s="434">
        <f>B10-C10-D10</f>
        <v>2089.163487565492</v>
      </c>
      <c r="F10" s="433">
        <v>0</v>
      </c>
      <c r="G10" s="57">
        <f t="shared" si="0"/>
        <v>2089.163487565492</v>
      </c>
      <c r="H10" s="57">
        <v>0</v>
      </c>
      <c r="I10" s="57">
        <v>0</v>
      </c>
      <c r="J10" s="58">
        <f t="shared" si="1"/>
        <v>2089.163487565492</v>
      </c>
      <c r="K10" s="140"/>
      <c r="N10" s="9"/>
      <c r="O10" s="9"/>
      <c r="P10" s="9"/>
      <c r="Q10" s="9"/>
      <c r="R10" s="9"/>
    </row>
    <row r="11" spans="1:18" ht="12.75">
      <c r="A11" s="194" t="s">
        <v>51</v>
      </c>
      <c r="B11" s="143">
        <f>'1st IA Load Pricing Results'!K39</f>
        <v>14786.182482815933</v>
      </c>
      <c r="C11" s="79">
        <f>'BRA Resource Clearing Results'!E26-'1stIA Resource Clearing Results'!M28</f>
        <v>10667.6</v>
      </c>
      <c r="D11" s="57">
        <f>'1st IA Load Pricing Results'!H39</f>
        <v>288.4368281922213</v>
      </c>
      <c r="E11" s="606">
        <f>B11-C11-D11-36.3</f>
        <v>3793.8456546237117</v>
      </c>
      <c r="F11" s="433">
        <v>0</v>
      </c>
      <c r="G11" s="57">
        <f t="shared" si="0"/>
        <v>3793.8456546237117</v>
      </c>
      <c r="H11" s="57">
        <v>0</v>
      </c>
      <c r="I11" s="57">
        <v>0</v>
      </c>
      <c r="J11" s="58">
        <f t="shared" si="1"/>
        <v>3793.8456546237117</v>
      </c>
      <c r="K11" s="140"/>
      <c r="N11" s="9"/>
      <c r="O11" s="9"/>
      <c r="P11" s="9"/>
      <c r="Q11" s="9"/>
      <c r="R11" s="9"/>
    </row>
    <row r="12" spans="1:18" ht="12.75">
      <c r="A12" s="6" t="s">
        <v>259</v>
      </c>
      <c r="B12" s="41"/>
      <c r="C12" s="41"/>
      <c r="D12" s="18"/>
      <c r="E12" s="497"/>
      <c r="F12" s="18"/>
      <c r="G12" s="26"/>
      <c r="H12" s="20"/>
      <c r="I12" s="26"/>
      <c r="J12" s="25"/>
      <c r="K12" s="56"/>
      <c r="N12" s="9"/>
      <c r="O12" s="9"/>
      <c r="P12" s="9"/>
      <c r="Q12" s="9"/>
      <c r="R12" s="9"/>
    </row>
    <row r="13" spans="1:18" ht="13.5" thickBot="1">
      <c r="A13" s="32"/>
      <c r="B13" s="41"/>
      <c r="C13" s="41"/>
      <c r="D13" s="18"/>
      <c r="E13" s="41"/>
      <c r="F13" s="18"/>
      <c r="G13" s="26"/>
      <c r="H13" s="20"/>
      <c r="I13" s="26"/>
      <c r="J13" s="25"/>
      <c r="K13" s="56"/>
      <c r="N13" s="9"/>
      <c r="O13" s="9"/>
      <c r="P13" s="9"/>
      <c r="Q13" s="9"/>
      <c r="R13" s="9"/>
    </row>
    <row r="14" spans="1:19" ht="15" thickBot="1">
      <c r="A14" s="721" t="s">
        <v>122</v>
      </c>
      <c r="B14" s="722"/>
      <c r="C14" s="722"/>
      <c r="D14" s="723"/>
      <c r="E14" s="5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ht="15">
      <c r="A15" s="724"/>
      <c r="B15" s="725"/>
      <c r="C15" s="725"/>
      <c r="D15" s="726"/>
      <c r="E15" s="665" t="s">
        <v>30</v>
      </c>
      <c r="F15" s="717"/>
      <c r="G15" s="717" t="s">
        <v>41</v>
      </c>
      <c r="H15" s="717"/>
      <c r="I15" s="717" t="s">
        <v>5</v>
      </c>
      <c r="J15" s="717"/>
      <c r="K15" s="717" t="s">
        <v>48</v>
      </c>
      <c r="L15" s="717"/>
      <c r="M15" s="717" t="s">
        <v>46</v>
      </c>
      <c r="N15" s="717"/>
      <c r="O15" s="717" t="s">
        <v>15</v>
      </c>
      <c r="P15" s="666"/>
      <c r="Q15" s="717" t="s">
        <v>51</v>
      </c>
      <c r="R15" s="666"/>
      <c r="S15" s="22"/>
      <c r="T15" s="22"/>
      <c r="U15" s="22"/>
    </row>
    <row r="16" spans="1:21" ht="49.5" customHeight="1" thickBot="1">
      <c r="A16" s="724"/>
      <c r="B16" s="725"/>
      <c r="C16" s="725"/>
      <c r="D16" s="726"/>
      <c r="E16" s="435" t="s">
        <v>260</v>
      </c>
      <c r="F16" s="436">
        <f>'1st IA Load Pricing Results'!D16</f>
        <v>31.00992591156472</v>
      </c>
      <c r="G16" s="437" t="s">
        <v>260</v>
      </c>
      <c r="H16" s="436">
        <f>'1st IA Load Pricing Results'!D17-'1st IA Load Pricing Results'!D16</f>
        <v>0</v>
      </c>
      <c r="I16" s="437" t="s">
        <v>260</v>
      </c>
      <c r="J16" s="438">
        <f>'1st IA Load Pricing Results'!D18-'1st IA Load Pricing Results'!D16</f>
        <v>0</v>
      </c>
      <c r="K16" s="437" t="s">
        <v>260</v>
      </c>
      <c r="L16" s="436">
        <f>'1st IA Load Pricing Results'!D28</f>
        <v>-0.38622892730591646</v>
      </c>
      <c r="M16" s="437" t="s">
        <v>260</v>
      </c>
      <c r="N16" s="436">
        <f>'1st IA Load Pricing Results'!D31</f>
        <v>0</v>
      </c>
      <c r="O16" s="437" t="s">
        <v>260</v>
      </c>
      <c r="P16" s="439">
        <f>'1st IA Load Pricing Results'!D19-'1st IA Load Pricing Results'!D18</f>
        <v>0</v>
      </c>
      <c r="Q16" s="437" t="s">
        <v>260</v>
      </c>
      <c r="R16" s="439">
        <f>'1st IA Load Pricing Results'!D20</f>
        <v>186.08</v>
      </c>
      <c r="S16" s="22"/>
      <c r="T16" s="22"/>
      <c r="U16" s="22"/>
    </row>
    <row r="17" spans="1:22" ht="65.25">
      <c r="A17" s="253" t="s">
        <v>7</v>
      </c>
      <c r="B17" s="87" t="s">
        <v>28</v>
      </c>
      <c r="C17" s="87" t="s">
        <v>27</v>
      </c>
      <c r="D17" s="87" t="s">
        <v>36</v>
      </c>
      <c r="E17" s="87" t="s">
        <v>106</v>
      </c>
      <c r="F17" s="87" t="s">
        <v>123</v>
      </c>
      <c r="G17" s="87" t="s">
        <v>107</v>
      </c>
      <c r="H17" s="87" t="s">
        <v>123</v>
      </c>
      <c r="I17" s="87" t="s">
        <v>106</v>
      </c>
      <c r="J17" s="87" t="s">
        <v>123</v>
      </c>
      <c r="K17" s="87" t="s">
        <v>108</v>
      </c>
      <c r="L17" s="87" t="s">
        <v>123</v>
      </c>
      <c r="M17" s="87" t="s">
        <v>109</v>
      </c>
      <c r="N17" s="87" t="s">
        <v>123</v>
      </c>
      <c r="O17" s="87" t="s">
        <v>109</v>
      </c>
      <c r="P17" s="87" t="s">
        <v>123</v>
      </c>
      <c r="Q17" s="87" t="s">
        <v>109</v>
      </c>
      <c r="R17" s="87" t="s">
        <v>123</v>
      </c>
      <c r="S17" s="87" t="s">
        <v>261</v>
      </c>
      <c r="T17" s="440" t="s">
        <v>262</v>
      </c>
      <c r="U17" s="87" t="s">
        <v>263</v>
      </c>
      <c r="V17" s="254" t="s">
        <v>264</v>
      </c>
    </row>
    <row r="18" spans="1:22" ht="12.75">
      <c r="A18" s="133" t="s">
        <v>16</v>
      </c>
      <c r="B18" s="85" t="s">
        <v>30</v>
      </c>
      <c r="C18" s="85" t="s">
        <v>41</v>
      </c>
      <c r="D18" s="85"/>
      <c r="E18" s="59">
        <f>IF(B18="MAAC",$J$5*'1st IA Load Pricing Results'!K36/'1st IA Load Pricing Results'!$B$16,0)</f>
        <v>32.94778210859343</v>
      </c>
      <c r="F18" s="441">
        <f>E18*$F$16</f>
        <v>1021.7082821378599</v>
      </c>
      <c r="G18" s="59">
        <f>IF(C18="EMAAC",$J$6*'1st IA Load Pricing Results'!K36/'1st IA Load Pricing Results'!$B$17,0)</f>
        <v>272.81091788548594</v>
      </c>
      <c r="H18" s="441">
        <f>G18*$H$16</f>
        <v>0</v>
      </c>
      <c r="I18" s="59">
        <f>IF(C18="SWMAAC",$J$7*'1st IA Load Pricing Results'!K36/'1st IA Load Pricing Results'!$B$18,0)</f>
        <v>0</v>
      </c>
      <c r="J18" s="441">
        <f>I18*$J$16</f>
        <v>0</v>
      </c>
      <c r="K18" s="59">
        <f>IF(D18="PS",$J$8*'1st IA Load Pricing Results'!K36/'1st IA Load Pricing Results'!$K$53,0)</f>
        <v>0</v>
      </c>
      <c r="L18" s="441">
        <f>K18*$L$16</f>
        <v>0</v>
      </c>
      <c r="M18" s="59">
        <f>IF(D18="DPL",$J$9*'1st IA Load Pricing Results'!K36/'1st IA Load Pricing Results'!$K$46,0)</f>
        <v>0</v>
      </c>
      <c r="N18" s="441">
        <f>M18*$N$16</f>
        <v>0</v>
      </c>
      <c r="O18" s="59">
        <f>IF(D18="PEPCO",$J$10*'1st IA Load Pricing Results'!K36/'1st IA Load Pricing Results'!$K$51,0)</f>
        <v>0</v>
      </c>
      <c r="P18" s="441">
        <f>O18*$P$16</f>
        <v>0</v>
      </c>
      <c r="Q18" s="59">
        <f>IF(D18="ATSI",$J$11*'1st IA Load Pricing Results'!K36/'1st IA Load Pricing Results'!$K$39,0)</f>
        <v>0</v>
      </c>
      <c r="R18" s="441">
        <f>Q18*$R$16</f>
        <v>0</v>
      </c>
      <c r="S18" s="57">
        <f>MAX(E18,G18,I18,K18,M18,O18,Q18)</f>
        <v>272.81091788548594</v>
      </c>
      <c r="T18" s="60">
        <f>F18+H18+J18+L18+N18+P18+R18</f>
        <v>1021.7082821378599</v>
      </c>
      <c r="U18" s="60">
        <f>T18/'1st IA Load Pricing Results'!K36</f>
        <v>0.3323200905637706</v>
      </c>
      <c r="V18" s="261">
        <f>IF(S18=0,0,T18/S18)</f>
        <v>3.745115078446854</v>
      </c>
    </row>
    <row r="19" spans="1:22" ht="12.75">
      <c r="A19" s="133" t="s">
        <v>32</v>
      </c>
      <c r="B19" s="85"/>
      <c r="C19" s="85"/>
      <c r="D19" s="85"/>
      <c r="E19" s="59">
        <f>IF(B19="MAAC",$J$5*'1st IA Load Pricing Results'!K37/'1st IA Load Pricing Results'!$B$16,0)</f>
        <v>0</v>
      </c>
      <c r="F19" s="441">
        <f aca="true" t="shared" si="2" ref="F19:F36">E19*$F$16</f>
        <v>0</v>
      </c>
      <c r="G19" s="59">
        <f>IF(C19="EMAAC",$J$6*'1st IA Load Pricing Results'!K37/'1st IA Load Pricing Results'!$B$17,0)</f>
        <v>0</v>
      </c>
      <c r="H19" s="441">
        <f>G19*$H$16</f>
        <v>0</v>
      </c>
      <c r="I19" s="59">
        <f>IF(C19="SWMAAC",$J$7*'1st IA Load Pricing Results'!K37/'1st IA Load Pricing Results'!$B$18,0)</f>
        <v>0</v>
      </c>
      <c r="J19" s="441">
        <f>I19*$J$16</f>
        <v>0</v>
      </c>
      <c r="K19" s="59">
        <f>IF(D19="PS",$J$8*'1st IA Load Pricing Results'!K37/'1st IA Load Pricing Results'!$K$53,0)</f>
        <v>0</v>
      </c>
      <c r="L19" s="441">
        <f>K19*$L$16</f>
        <v>0</v>
      </c>
      <c r="M19" s="59">
        <f>IF(D19="DPL",$J$9*'1st IA Load Pricing Results'!K37/'1st IA Load Pricing Results'!$K$46,0)</f>
        <v>0</v>
      </c>
      <c r="N19" s="441">
        <f>M19*$N$16</f>
        <v>0</v>
      </c>
      <c r="O19" s="59">
        <f>IF(D19="PEPCO",$J$10*'1st IA Load Pricing Results'!K37/'1st IA Load Pricing Results'!$K$51,0)</f>
        <v>0</v>
      </c>
      <c r="P19" s="441">
        <f>O19*$P$16</f>
        <v>0</v>
      </c>
      <c r="Q19" s="59">
        <f>IF(D19="ATSI",$J$11*'1st IA Load Pricing Results'!K37/'1st IA Load Pricing Results'!$K$39,0)</f>
        <v>0</v>
      </c>
      <c r="R19" s="441">
        <f aca="true" t="shared" si="3" ref="R19:R36">Q19*$R$16</f>
        <v>0</v>
      </c>
      <c r="S19" s="57">
        <f aca="true" t="shared" si="4" ref="S19:S36">MAX(E19,G19,I19,K19,M19,O19,Q19)</f>
        <v>0</v>
      </c>
      <c r="T19" s="60">
        <f aca="true" t="shared" si="5" ref="T19:T36">F19+H19+J19+L19+N19+P19+R19</f>
        <v>0</v>
      </c>
      <c r="U19" s="60">
        <f>T19/'1st IA Load Pricing Results'!K37</f>
        <v>0</v>
      </c>
      <c r="V19" s="261">
        <f aca="true" t="shared" si="6" ref="V19:V36">IF(S19=0,0,T19/S19)</f>
        <v>0</v>
      </c>
    </row>
    <row r="20" spans="1:22" ht="12.75">
      <c r="A20" s="133" t="s">
        <v>19</v>
      </c>
      <c r="B20" s="85" t="s">
        <v>24</v>
      </c>
      <c r="C20" s="85"/>
      <c r="D20" s="85"/>
      <c r="E20" s="59">
        <f>IF(B20="MAAC",$J$5*'1st IA Load Pricing Results'!K38/'1st IA Load Pricing Results'!$B$16,0)</f>
        <v>0</v>
      </c>
      <c r="F20" s="441">
        <f t="shared" si="2"/>
        <v>0</v>
      </c>
      <c r="G20" s="59">
        <f>IF(C20="EMAAC",$J$6*'1st IA Load Pricing Results'!K38/'1st IA Load Pricing Results'!$B$17,0)</f>
        <v>0</v>
      </c>
      <c r="H20" s="441">
        <f>G20*$H$16</f>
        <v>0</v>
      </c>
      <c r="I20" s="59">
        <f>IF(C20="SWMAAC",$J$7*'1st IA Load Pricing Results'!K38/'1st IA Load Pricing Results'!$B$18,0)</f>
        <v>0</v>
      </c>
      <c r="J20" s="441">
        <f>I20*$J$16</f>
        <v>0</v>
      </c>
      <c r="K20" s="59">
        <f>IF(D20="PS",$J$8*'1st IA Load Pricing Results'!K38/'1st IA Load Pricing Results'!$K$53,0)</f>
        <v>0</v>
      </c>
      <c r="L20" s="441">
        <f>K20*$L$16</f>
        <v>0</v>
      </c>
      <c r="M20" s="59">
        <f>IF(D20="DPL",$J$9*'1st IA Load Pricing Results'!K38/'1st IA Load Pricing Results'!$K$46,0)</f>
        <v>0</v>
      </c>
      <c r="N20" s="441">
        <f aca="true" t="shared" si="7" ref="N20:N32">M20*$N$16</f>
        <v>0</v>
      </c>
      <c r="O20" s="59">
        <f>IF(D20="PEPCO",$J$10*'1st IA Load Pricing Results'!K38/'1st IA Load Pricing Results'!$K$51,0)</f>
        <v>0</v>
      </c>
      <c r="P20" s="441">
        <f aca="true" t="shared" si="8" ref="P20:P32">O20*$P$16</f>
        <v>0</v>
      </c>
      <c r="Q20" s="59">
        <f>IF(D20="ATSI",$J$11*'1st IA Load Pricing Results'!K38/'1st IA Load Pricing Results'!$K$39,0)</f>
        <v>0</v>
      </c>
      <c r="R20" s="441">
        <f t="shared" si="3"/>
        <v>0</v>
      </c>
      <c r="S20" s="57">
        <f t="shared" si="4"/>
        <v>0</v>
      </c>
      <c r="T20" s="60">
        <f t="shared" si="5"/>
        <v>0</v>
      </c>
      <c r="U20" s="60">
        <f>T20/'1st IA Load Pricing Results'!K38</f>
        <v>0</v>
      </c>
      <c r="V20" s="261">
        <f t="shared" si="6"/>
        <v>0</v>
      </c>
    </row>
    <row r="21" spans="1:22" ht="12.75">
      <c r="A21" s="133" t="s">
        <v>51</v>
      </c>
      <c r="B21" s="85"/>
      <c r="C21" s="85"/>
      <c r="D21" s="277" t="s">
        <v>51</v>
      </c>
      <c r="E21" s="59">
        <f>IF(B21="MAAC",$J$5*'1st IA Load Pricing Results'!K39/'1st IA Load Pricing Results'!$B$16,0)</f>
        <v>0</v>
      </c>
      <c r="F21" s="441">
        <f>E21*$F$16</f>
        <v>0</v>
      </c>
      <c r="G21" s="59">
        <f>IF(C21="EMAAC",$J$6*'1st IA Load Pricing Results'!K39/'1st IA Load Pricing Results'!$B$17,0)</f>
        <v>0</v>
      </c>
      <c r="H21" s="441">
        <f>G21*$H$16</f>
        <v>0</v>
      </c>
      <c r="I21" s="59">
        <f>IF(C21="SWMAAC",$J$7*'1st IA Load Pricing Results'!K39/'1st IA Load Pricing Results'!$B$18,0)</f>
        <v>0</v>
      </c>
      <c r="J21" s="441">
        <f>I21*$J$16</f>
        <v>0</v>
      </c>
      <c r="K21" s="59">
        <f>IF(D21="PS",$J$8*'1st IA Load Pricing Results'!K39/'1st IA Load Pricing Results'!$K$53,0)</f>
        <v>0</v>
      </c>
      <c r="L21" s="441">
        <f aca="true" t="shared" si="9" ref="L21:L35">K21*$L$16</f>
        <v>0</v>
      </c>
      <c r="M21" s="59">
        <f>IF(D21="DPL",$J$9*'1st IA Load Pricing Results'!K39/'1st IA Load Pricing Results'!$K$46,0)</f>
        <v>0</v>
      </c>
      <c r="N21" s="441">
        <f>M21*$N$16</f>
        <v>0</v>
      </c>
      <c r="O21" s="59">
        <f>IF(D21="PEPCO",$J$10*'1st IA Load Pricing Results'!K39/'1st IA Load Pricing Results'!$K$51,0)</f>
        <v>0</v>
      </c>
      <c r="P21" s="441">
        <f t="shared" si="8"/>
        <v>0</v>
      </c>
      <c r="Q21" s="59">
        <f>IF(D21="ATSI",$J$11*'1st IA Load Pricing Results'!K39/'1st IA Load Pricing Results'!$K$39,0)</f>
        <v>3793.8456546237117</v>
      </c>
      <c r="R21" s="441">
        <f t="shared" si="3"/>
        <v>705958.7994123803</v>
      </c>
      <c r="S21" s="57">
        <f t="shared" si="4"/>
        <v>3793.8456546237117</v>
      </c>
      <c r="T21" s="60">
        <f t="shared" si="5"/>
        <v>705958.7994123803</v>
      </c>
      <c r="U21" s="60">
        <f>T21/'1st IA Load Pricing Results'!K39</f>
        <v>47.744493903874435</v>
      </c>
      <c r="V21" s="261">
        <f>IF(S21=0,0,T21/S21)</f>
        <v>186.08</v>
      </c>
    </row>
    <row r="22" spans="1:22" ht="12.75">
      <c r="A22" s="133" t="s">
        <v>11</v>
      </c>
      <c r="B22" s="85" t="s">
        <v>30</v>
      </c>
      <c r="C22" s="85" t="s">
        <v>5</v>
      </c>
      <c r="D22" s="85"/>
      <c r="E22" s="59">
        <f>IF(B22="MAAC",$J$5*'1st IA Load Pricing Results'!K40/'1st IA Load Pricing Results'!$B$16,0)</f>
        <v>86.70194807031373</v>
      </c>
      <c r="F22" s="441">
        <f t="shared" si="2"/>
        <v>2688.6209860487606</v>
      </c>
      <c r="G22" s="59">
        <f>IF(C22="EMAAC",$J$6*'1st IA Load Pricing Results'!K40/'1st IA Load Pricing Results'!$B$17,0)</f>
        <v>0</v>
      </c>
      <c r="H22" s="441">
        <f aca="true" t="shared" si="10" ref="H22:H34">G22*$H$16</f>
        <v>0</v>
      </c>
      <c r="I22" s="59">
        <f>IF(C22="SWMAAC",$J$7*'1st IA Load Pricing Results'!K40/'1st IA Load Pricing Results'!$B$18,0)</f>
        <v>2243.099316495725</v>
      </c>
      <c r="J22" s="441">
        <f>I22*$J$16</f>
        <v>0</v>
      </c>
      <c r="K22" s="59">
        <f>IF(D22="PS",$J$8*'1st IA Load Pricing Results'!K40/'1st IA Load Pricing Results'!$K$53,0)</f>
        <v>0</v>
      </c>
      <c r="L22" s="441">
        <f t="shared" si="9"/>
        <v>0</v>
      </c>
      <c r="M22" s="59">
        <f>IF(D22="DPL",$J$9*'1st IA Load Pricing Results'!K40/'1st IA Load Pricing Results'!$K$46,0)</f>
        <v>0</v>
      </c>
      <c r="N22" s="441">
        <f t="shared" si="7"/>
        <v>0</v>
      </c>
      <c r="O22" s="59">
        <f>IF(D22="PEPCO",$J$10*'1st IA Load Pricing Results'!K40/'1st IA Load Pricing Results'!$K$51,0)</f>
        <v>0</v>
      </c>
      <c r="P22" s="441">
        <f t="shared" si="8"/>
        <v>0</v>
      </c>
      <c r="Q22" s="59">
        <f>IF(D22="ATSI",$J$11*'1st IA Load Pricing Results'!K40/'1st IA Load Pricing Results'!$K$39,0)</f>
        <v>0</v>
      </c>
      <c r="R22" s="441">
        <f t="shared" si="3"/>
        <v>0</v>
      </c>
      <c r="S22" s="57">
        <f t="shared" si="4"/>
        <v>2243.099316495725</v>
      </c>
      <c r="T22" s="60">
        <f t="shared" si="5"/>
        <v>2688.6209860487606</v>
      </c>
      <c r="U22" s="60">
        <f>T22/'1st IA Load Pricing Results'!K40</f>
        <v>0.33232009056377065</v>
      </c>
      <c r="V22" s="486">
        <f t="shared" si="6"/>
        <v>1.1986187888680073</v>
      </c>
    </row>
    <row r="23" spans="1:22" ht="12.75">
      <c r="A23" s="133" t="s">
        <v>20</v>
      </c>
      <c r="B23" s="85"/>
      <c r="C23" s="85"/>
      <c r="D23" s="85"/>
      <c r="E23" s="59">
        <f>IF(B23="MAAC",$J$5*'1st IA Load Pricing Results'!K41/'1st IA Load Pricing Results'!$B$16,0)</f>
        <v>0</v>
      </c>
      <c r="F23" s="441">
        <f t="shared" si="2"/>
        <v>0</v>
      </c>
      <c r="G23" s="59">
        <f>IF(C23="EMAAC",$J$6*'1st IA Load Pricing Results'!K41/'1st IA Load Pricing Results'!$B$17,0)</f>
        <v>0</v>
      </c>
      <c r="H23" s="441">
        <f t="shared" si="10"/>
        <v>0</v>
      </c>
      <c r="I23" s="59">
        <f>IF(C23="SWMAAC",$J$7*'1st IA Load Pricing Results'!K41/'1st IA Load Pricing Results'!$B$18,0)</f>
        <v>0</v>
      </c>
      <c r="J23" s="441">
        <f aca="true" t="shared" si="11" ref="J23:J35">I23*$J$16</f>
        <v>0</v>
      </c>
      <c r="K23" s="59">
        <f>IF(D23="PS",$J$8*'1st IA Load Pricing Results'!K41/'1st IA Load Pricing Results'!$K$53,0)</f>
        <v>0</v>
      </c>
      <c r="L23" s="441">
        <f t="shared" si="9"/>
        <v>0</v>
      </c>
      <c r="M23" s="59">
        <f>IF(D23="DPL",$J$9*'1st IA Load Pricing Results'!K41/'1st IA Load Pricing Results'!$K$46,0)</f>
        <v>0</v>
      </c>
      <c r="N23" s="441">
        <f t="shared" si="7"/>
        <v>0</v>
      </c>
      <c r="O23" s="59">
        <f>IF(D23="PEPCO",$J$10*'1st IA Load Pricing Results'!K41/'1st IA Load Pricing Results'!$K$51,0)</f>
        <v>0</v>
      </c>
      <c r="P23" s="441">
        <f t="shared" si="8"/>
        <v>0</v>
      </c>
      <c r="Q23" s="59">
        <f>IF(D23="ATSI",$J$11*'1st IA Load Pricing Results'!K41/'1st IA Load Pricing Results'!$K$39,0)</f>
        <v>0</v>
      </c>
      <c r="R23" s="441">
        <f t="shared" si="3"/>
        <v>0</v>
      </c>
      <c r="S23" s="57">
        <f t="shared" si="4"/>
        <v>0</v>
      </c>
      <c r="T23" s="60">
        <f t="shared" si="5"/>
        <v>0</v>
      </c>
      <c r="U23" s="60">
        <f>T23/'1st IA Load Pricing Results'!K41</f>
        <v>0</v>
      </c>
      <c r="V23" s="261">
        <f t="shared" si="6"/>
        <v>0</v>
      </c>
    </row>
    <row r="24" spans="1:22" ht="12.75">
      <c r="A24" s="133" t="s">
        <v>21</v>
      </c>
      <c r="B24" s="85"/>
      <c r="C24" s="85"/>
      <c r="D24" s="85"/>
      <c r="E24" s="59">
        <f>IF(B24="MAAC",$J$5*'1st IA Load Pricing Results'!K42/'1st IA Load Pricing Results'!$B$16,0)</f>
        <v>0</v>
      </c>
      <c r="F24" s="441">
        <f t="shared" si="2"/>
        <v>0</v>
      </c>
      <c r="G24" s="59">
        <f>IF(C24="EMAAC",$J$6*'1st IA Load Pricing Results'!K42/'1st IA Load Pricing Results'!$B$17,0)</f>
        <v>0</v>
      </c>
      <c r="H24" s="441">
        <f>G24*$H$16</f>
        <v>0</v>
      </c>
      <c r="I24" s="59">
        <f>IF(C24="SWMAAC",$J$7*'1st IA Load Pricing Results'!K42/'1st IA Load Pricing Results'!$B$18,0)</f>
        <v>0</v>
      </c>
      <c r="J24" s="441">
        <f>I24*$J$16</f>
        <v>0</v>
      </c>
      <c r="K24" s="59">
        <f>IF(D24="PS",$J$8*'1st IA Load Pricing Results'!K42/'1st IA Load Pricing Results'!$K$53,0)</f>
        <v>0</v>
      </c>
      <c r="L24" s="441">
        <f t="shared" si="9"/>
        <v>0</v>
      </c>
      <c r="M24" s="59">
        <f>IF(D24="DPL",$J$9*'1st IA Load Pricing Results'!K42/'1st IA Load Pricing Results'!$K$46,0)</f>
        <v>0</v>
      </c>
      <c r="N24" s="441">
        <f t="shared" si="7"/>
        <v>0</v>
      </c>
      <c r="O24" s="59">
        <f>IF(D24="PEPCO",$J$10*'1st IA Load Pricing Results'!K42/'1st IA Load Pricing Results'!$K$51,0)</f>
        <v>0</v>
      </c>
      <c r="P24" s="441">
        <f t="shared" si="8"/>
        <v>0</v>
      </c>
      <c r="Q24" s="59">
        <f>IF(D24="ATSI",$J$11*'1st IA Load Pricing Results'!K42/'1st IA Load Pricing Results'!$K$39,0)</f>
        <v>0</v>
      </c>
      <c r="R24" s="441">
        <f t="shared" si="3"/>
        <v>0</v>
      </c>
      <c r="S24" s="57">
        <f t="shared" si="4"/>
        <v>0</v>
      </c>
      <c r="T24" s="60">
        <f t="shared" si="5"/>
        <v>0</v>
      </c>
      <c r="U24" s="60">
        <f>T24/'1st IA Load Pricing Results'!K42</f>
        <v>0</v>
      </c>
      <c r="V24" s="261">
        <f t="shared" si="6"/>
        <v>0</v>
      </c>
    </row>
    <row r="25" spans="1:22" ht="12.75">
      <c r="A25" s="133" t="s">
        <v>66</v>
      </c>
      <c r="B25" s="85"/>
      <c r="C25" s="85"/>
      <c r="D25" s="85"/>
      <c r="E25" s="59">
        <f>IF(B25="MAAC",$J$5*'1st IA Load Pricing Results'!K43/'1st IA Load Pricing Results'!$B$16,0)</f>
        <v>0</v>
      </c>
      <c r="F25" s="441">
        <f>E25*$F$16</f>
        <v>0</v>
      </c>
      <c r="G25" s="59">
        <f>IF(C25="EMAAC",$J$6*'1st IA Load Pricing Results'!K43/'1st IA Load Pricing Results'!$B$17,0)</f>
        <v>0</v>
      </c>
      <c r="H25" s="441">
        <f>G25*$H$16</f>
        <v>0</v>
      </c>
      <c r="I25" s="59">
        <f>IF(C25="SWMAAC",$J$7*'1st IA Load Pricing Results'!K43/'1st IA Load Pricing Results'!$B$18,0)</f>
        <v>0</v>
      </c>
      <c r="J25" s="441">
        <f>I25*$J$16</f>
        <v>0</v>
      </c>
      <c r="K25" s="59">
        <f>IF(D25="PS",$J$8*'1st IA Load Pricing Results'!K43/'1st IA Load Pricing Results'!$K$53,0)</f>
        <v>0</v>
      </c>
      <c r="L25" s="441">
        <f t="shared" si="9"/>
        <v>0</v>
      </c>
      <c r="M25" s="59">
        <f>IF(D25="DPL",$J$9*'1st IA Load Pricing Results'!K43/'1st IA Load Pricing Results'!$K$46,0)</f>
        <v>0</v>
      </c>
      <c r="N25" s="441">
        <f>M25*$N$16</f>
        <v>0</v>
      </c>
      <c r="O25" s="59">
        <f>IF(D25="PEPCO",$J$10*'1st IA Load Pricing Results'!K43/'1st IA Load Pricing Results'!$K$51,0)</f>
        <v>0</v>
      </c>
      <c r="P25" s="441">
        <f t="shared" si="8"/>
        <v>0</v>
      </c>
      <c r="Q25" s="59">
        <f>IF(D25="ATSI",$J$11*'1st IA Load Pricing Results'!K43/'1st IA Load Pricing Results'!$K$39,0)</f>
        <v>0</v>
      </c>
      <c r="R25" s="441">
        <f t="shared" si="3"/>
        <v>0</v>
      </c>
      <c r="S25" s="57">
        <f t="shared" si="4"/>
        <v>0</v>
      </c>
      <c r="T25" s="60">
        <f t="shared" si="5"/>
        <v>0</v>
      </c>
      <c r="U25" s="60">
        <f>T25/'1st IA Load Pricing Results'!K43</f>
        <v>0</v>
      </c>
      <c r="V25" s="261">
        <f>IF(S25=0,0,T25/S25)</f>
        <v>0</v>
      </c>
    </row>
    <row r="26" spans="1:22" ht="12.75">
      <c r="A26" s="133" t="s">
        <v>50</v>
      </c>
      <c r="B26" s="85"/>
      <c r="C26" s="85"/>
      <c r="D26" s="85"/>
      <c r="E26" s="59">
        <f>IF(B26="MAAC",$J$5*'1st IA Load Pricing Results'!K44/'1st IA Load Pricing Results'!$B$16,0)</f>
        <v>0</v>
      </c>
      <c r="F26" s="441">
        <f t="shared" si="2"/>
        <v>0</v>
      </c>
      <c r="G26" s="59">
        <f>IF(C26="EMAAC",$J$6*'1st IA Load Pricing Results'!K44/'1st IA Load Pricing Results'!$B$17,0)</f>
        <v>0</v>
      </c>
      <c r="H26" s="441">
        <f>G26*$H$16</f>
        <v>0</v>
      </c>
      <c r="I26" s="59">
        <f>IF(C26="SWMAAC",$J$7*'1st IA Load Pricing Results'!K44/'1st IA Load Pricing Results'!$B$18,0)</f>
        <v>0</v>
      </c>
      <c r="J26" s="441">
        <f>I26*$J$16</f>
        <v>0</v>
      </c>
      <c r="K26" s="59">
        <f>IF(D26="PS",$J$8*'1st IA Load Pricing Results'!K44/'1st IA Load Pricing Results'!$K$53,0)</f>
        <v>0</v>
      </c>
      <c r="L26" s="441">
        <f t="shared" si="9"/>
        <v>0</v>
      </c>
      <c r="M26" s="59">
        <f>IF(D26="DPL",$J$9*'1st IA Load Pricing Results'!K44/'1st IA Load Pricing Results'!$K$46,0)</f>
        <v>0</v>
      </c>
      <c r="N26" s="441">
        <f>M26*$N$16</f>
        <v>0</v>
      </c>
      <c r="O26" s="59">
        <f>IF(D26="PEPCO",$J$10*'1st IA Load Pricing Results'!K44/'1st IA Load Pricing Results'!$K$51,0)</f>
        <v>0</v>
      </c>
      <c r="P26" s="441">
        <f t="shared" si="8"/>
        <v>0</v>
      </c>
      <c r="Q26" s="59">
        <f>IF(D26="ATSI",$J$11*'1st IA Load Pricing Results'!K44/'1st IA Load Pricing Results'!$K$39,0)</f>
        <v>0</v>
      </c>
      <c r="R26" s="441">
        <f t="shared" si="3"/>
        <v>0</v>
      </c>
      <c r="S26" s="57">
        <f t="shared" si="4"/>
        <v>0</v>
      </c>
      <c r="T26" s="60">
        <f t="shared" si="5"/>
        <v>0</v>
      </c>
      <c r="U26" s="60">
        <f>T26/'1st IA Load Pricing Results'!K44</f>
        <v>0</v>
      </c>
      <c r="V26" s="261">
        <f t="shared" si="6"/>
        <v>0</v>
      </c>
    </row>
    <row r="27" spans="1:22" ht="12.75">
      <c r="A27" s="133" t="s">
        <v>33</v>
      </c>
      <c r="B27" s="85"/>
      <c r="C27" s="85"/>
      <c r="D27" s="85"/>
      <c r="E27" s="59">
        <f>IF(B27="MAAC",$J$5*'1st IA Load Pricing Results'!K45/'1st IA Load Pricing Results'!$B$16,0)</f>
        <v>0</v>
      </c>
      <c r="F27" s="441">
        <f t="shared" si="2"/>
        <v>0</v>
      </c>
      <c r="G27" s="59">
        <f>IF(C27="EMAAC",$J$6*'1st IA Load Pricing Results'!K45/'1st IA Load Pricing Results'!$B$17,0)</f>
        <v>0</v>
      </c>
      <c r="H27" s="441">
        <f t="shared" si="10"/>
        <v>0</v>
      </c>
      <c r="I27" s="59">
        <f>IF(C27="SWMAAC",$J$7*'1st IA Load Pricing Results'!K45/'1st IA Load Pricing Results'!$B$18,0)</f>
        <v>0</v>
      </c>
      <c r="J27" s="441">
        <f>I27*$J$16</f>
        <v>0</v>
      </c>
      <c r="K27" s="59">
        <f>IF(D27="PS",$J$8*'1st IA Load Pricing Results'!K45/'1st IA Load Pricing Results'!$K$53,0)</f>
        <v>0</v>
      </c>
      <c r="L27" s="441">
        <f t="shared" si="9"/>
        <v>0</v>
      </c>
      <c r="M27" s="59">
        <f>IF(D27="DPL",$J$9*'1st IA Load Pricing Results'!K45/'1st IA Load Pricing Results'!$K$46,0)</f>
        <v>0</v>
      </c>
      <c r="N27" s="441">
        <f t="shared" si="7"/>
        <v>0</v>
      </c>
      <c r="O27" s="59">
        <f>IF(D27="PEPCO",$J$10*'1st IA Load Pricing Results'!K45/'1st IA Load Pricing Results'!$K$51,0)</f>
        <v>0</v>
      </c>
      <c r="P27" s="441">
        <f t="shared" si="8"/>
        <v>0</v>
      </c>
      <c r="Q27" s="59">
        <f>IF(D27="ATSI",$J$11*'1st IA Load Pricing Results'!K45/'1st IA Load Pricing Results'!$K$39,0)</f>
        <v>0</v>
      </c>
      <c r="R27" s="441">
        <f t="shared" si="3"/>
        <v>0</v>
      </c>
      <c r="S27" s="57">
        <f t="shared" si="4"/>
        <v>0</v>
      </c>
      <c r="T27" s="60">
        <f t="shared" si="5"/>
        <v>0</v>
      </c>
      <c r="U27" s="60">
        <f>T27/'1st IA Load Pricing Results'!K45</f>
        <v>0</v>
      </c>
      <c r="V27" s="261">
        <f t="shared" si="6"/>
        <v>0</v>
      </c>
    </row>
    <row r="28" spans="1:22" ht="12.75">
      <c r="A28" s="133" t="s">
        <v>17</v>
      </c>
      <c r="B28" s="85" t="s">
        <v>30</v>
      </c>
      <c r="C28" s="85" t="s">
        <v>41</v>
      </c>
      <c r="D28" s="85" t="s">
        <v>17</v>
      </c>
      <c r="E28" s="59">
        <f>IF(B28="MAAC",$J$5*'1st IA Load Pricing Results'!K46/'1st IA Load Pricing Results'!$B$16,0)</f>
        <v>49.97114971064132</v>
      </c>
      <c r="F28" s="441">
        <f t="shared" si="2"/>
        <v>1549.6016502426962</v>
      </c>
      <c r="G28" s="59">
        <f>IF(C28="EMAAC",$J$6*'1st IA Load Pricing Results'!K46/'1st IA Load Pricing Results'!$B$17,0)</f>
        <v>413.7660973785979</v>
      </c>
      <c r="H28" s="441">
        <f>G28*$H$16</f>
        <v>0</v>
      </c>
      <c r="I28" s="59">
        <f>IF(C28="SWMAAC",$J$7*'1st IA Load Pricing Results'!K46/'1st IA Load Pricing Results'!$B$18,0)</f>
        <v>0</v>
      </c>
      <c r="J28" s="441">
        <f t="shared" si="11"/>
        <v>0</v>
      </c>
      <c r="K28" s="59">
        <f>IF(D28="PS",$J$8*'1st IA Load Pricing Results'!K46/'1st IA Load Pricing Results'!$K$53,0)</f>
        <v>0</v>
      </c>
      <c r="L28" s="441">
        <f t="shared" si="9"/>
        <v>0</v>
      </c>
      <c r="M28" s="59">
        <f>IF(D28="DPL",$J$9*'1st IA Load Pricing Results'!K46/'1st IA Load Pricing Results'!$K$46,0)</f>
        <v>0</v>
      </c>
      <c r="N28" s="441">
        <f t="shared" si="7"/>
        <v>0</v>
      </c>
      <c r="O28" s="59">
        <f>IF(D28="PEPCO",$J$10*'1st IA Load Pricing Results'!K46/'1st IA Load Pricing Results'!$K$51,0)</f>
        <v>0</v>
      </c>
      <c r="P28" s="441">
        <f t="shared" si="8"/>
        <v>0</v>
      </c>
      <c r="Q28" s="59">
        <f>IF(D28="ATSI",$J$11*'1st IA Load Pricing Results'!K46/'1st IA Load Pricing Results'!$K$39,0)</f>
        <v>0</v>
      </c>
      <c r="R28" s="441">
        <f t="shared" si="3"/>
        <v>0</v>
      </c>
      <c r="S28" s="57">
        <f t="shared" si="4"/>
        <v>413.7660973785979</v>
      </c>
      <c r="T28" s="60">
        <f t="shared" si="5"/>
        <v>1549.6016502426962</v>
      </c>
      <c r="U28" s="60">
        <f>T28/'1st IA Load Pricing Results'!K46</f>
        <v>0.33232009056377065</v>
      </c>
      <c r="V28" s="261">
        <f t="shared" si="6"/>
        <v>3.7451150784468537</v>
      </c>
    </row>
    <row r="29" spans="1:22" ht="12.75">
      <c r="A29" s="133" t="s">
        <v>12</v>
      </c>
      <c r="B29" s="85" t="s">
        <v>30</v>
      </c>
      <c r="C29" s="85" t="s">
        <v>41</v>
      </c>
      <c r="D29" s="85"/>
      <c r="E29" s="59">
        <f>IF(B29="MAAC",$J$5*'1st IA Load Pricing Results'!K47/'1st IA Load Pricing Results'!$B$16,0)</f>
        <v>75.60414443615566</v>
      </c>
      <c r="F29" s="441">
        <f t="shared" si="2"/>
        <v>2344.4789175724254</v>
      </c>
      <c r="G29" s="59">
        <f>IF(C29="EMAAC",$J$6*'1st IA Load Pricing Results'!K47/'1st IA Load Pricing Results'!$B$17,0)</f>
        <v>626.0098470845148</v>
      </c>
      <c r="H29" s="441">
        <f>G29*$H$16</f>
        <v>0</v>
      </c>
      <c r="I29" s="59">
        <f>IF(C29="SWMAAC",$J$7*'1st IA Load Pricing Results'!K47/'1st IA Load Pricing Results'!$B$18,0)</f>
        <v>0</v>
      </c>
      <c r="J29" s="441">
        <f t="shared" si="11"/>
        <v>0</v>
      </c>
      <c r="K29" s="59">
        <f>IF(D29="PS",$J$8*'1st IA Load Pricing Results'!K47/'1st IA Load Pricing Results'!$K$53,0)</f>
        <v>0</v>
      </c>
      <c r="L29" s="441">
        <f t="shared" si="9"/>
        <v>0</v>
      </c>
      <c r="M29" s="59">
        <f>IF(D29="DPL",$J$9*'1st IA Load Pricing Results'!K47/'1st IA Load Pricing Results'!$K$46,0)</f>
        <v>0</v>
      </c>
      <c r="N29" s="441">
        <f t="shared" si="7"/>
        <v>0</v>
      </c>
      <c r="O29" s="59">
        <f>IF(D29="PEPCO",$J$10*'1st IA Load Pricing Results'!K47/'1st IA Load Pricing Results'!$K$51,0)</f>
        <v>0</v>
      </c>
      <c r="P29" s="441">
        <f t="shared" si="8"/>
        <v>0</v>
      </c>
      <c r="Q29" s="59">
        <f>IF(D29="ATSI",$J$11*'1st IA Load Pricing Results'!K47/'1st IA Load Pricing Results'!$K$39,0)</f>
        <v>0</v>
      </c>
      <c r="R29" s="441">
        <f t="shared" si="3"/>
        <v>0</v>
      </c>
      <c r="S29" s="57">
        <f t="shared" si="4"/>
        <v>626.0098470845148</v>
      </c>
      <c r="T29" s="60">
        <f t="shared" si="5"/>
        <v>2344.4789175724254</v>
      </c>
      <c r="U29" s="60">
        <f>T29/'1st IA Load Pricing Results'!K47</f>
        <v>0.3323200905637706</v>
      </c>
      <c r="V29" s="261">
        <f t="shared" si="6"/>
        <v>3.745115078446853</v>
      </c>
    </row>
    <row r="30" spans="1:22" ht="12.75">
      <c r="A30" s="133" t="s">
        <v>13</v>
      </c>
      <c r="B30" s="85" t="s">
        <v>30</v>
      </c>
      <c r="C30" s="85"/>
      <c r="D30" s="85"/>
      <c r="E30" s="59">
        <f>IF(B30="MAAC",$J$5*'1st IA Load Pricing Results'!K48/'1st IA Load Pricing Results'!$B$16,0)</f>
        <v>36.21927245626724</v>
      </c>
      <c r="F30" s="441">
        <f t="shared" si="2"/>
        <v>1123.156955439624</v>
      </c>
      <c r="G30" s="59">
        <f>IF(C30="EMAAC",$J$6*'1st IA Load Pricing Results'!K48/'1st IA Load Pricing Results'!$B$17,0)</f>
        <v>0</v>
      </c>
      <c r="H30" s="441">
        <f t="shared" si="10"/>
        <v>0</v>
      </c>
      <c r="I30" s="59">
        <f>IF(C30="SWMAAC",$J$7*'1st IA Load Pricing Results'!K48/'1st IA Load Pricing Results'!$B$18,0)</f>
        <v>0</v>
      </c>
      <c r="J30" s="441">
        <f t="shared" si="11"/>
        <v>0</v>
      </c>
      <c r="K30" s="59">
        <f>IF(D30="PS",$J$8*'1st IA Load Pricing Results'!K48/'1st IA Load Pricing Results'!$K$53,0)</f>
        <v>0</v>
      </c>
      <c r="L30" s="441">
        <f t="shared" si="9"/>
        <v>0</v>
      </c>
      <c r="M30" s="59">
        <f>IF(D30="DPL",$J$9*'1st IA Load Pricing Results'!K48/'1st IA Load Pricing Results'!$K$46,0)</f>
        <v>0</v>
      </c>
      <c r="N30" s="441">
        <f t="shared" si="7"/>
        <v>0</v>
      </c>
      <c r="O30" s="59">
        <f>IF(D30="PEPCO",$J$10*'1st IA Load Pricing Results'!K48/'1st IA Load Pricing Results'!$K$51,0)</f>
        <v>0</v>
      </c>
      <c r="P30" s="441">
        <f t="shared" si="8"/>
        <v>0</v>
      </c>
      <c r="Q30" s="59">
        <f>IF(D30="ATSI",$J$11*'1st IA Load Pricing Results'!K48/'1st IA Load Pricing Results'!$K$39,0)</f>
        <v>0</v>
      </c>
      <c r="R30" s="441">
        <f t="shared" si="3"/>
        <v>0</v>
      </c>
      <c r="S30" s="57">
        <f t="shared" si="4"/>
        <v>36.21927245626724</v>
      </c>
      <c r="T30" s="60">
        <f t="shared" si="5"/>
        <v>1123.156955439624</v>
      </c>
      <c r="U30" s="60">
        <f>T30/'1st IA Load Pricing Results'!K48</f>
        <v>0.33232009056377065</v>
      </c>
      <c r="V30" s="261">
        <f t="shared" si="6"/>
        <v>31.00992591156472</v>
      </c>
    </row>
    <row r="31" spans="1:22" ht="12.75">
      <c r="A31" s="133" t="s">
        <v>9</v>
      </c>
      <c r="B31" s="85" t="s">
        <v>30</v>
      </c>
      <c r="C31" s="85" t="s">
        <v>41</v>
      </c>
      <c r="D31" s="85"/>
      <c r="E31" s="59">
        <f>IF(B31="MAAC",$J$5*'1st IA Load Pricing Results'!K49/'1st IA Load Pricing Results'!$B$16,0)</f>
        <v>105.60362598135845</v>
      </c>
      <c r="F31" s="441">
        <f t="shared" si="2"/>
        <v>3274.7606176745167</v>
      </c>
      <c r="G31" s="59">
        <f>IF(C31="EMAAC",$J$6*'1st IA Load Pricing Results'!K49/'1st IA Load Pricing Results'!$B$17,0)</f>
        <v>874.4085426161594</v>
      </c>
      <c r="H31" s="441">
        <f>G31*$H$16</f>
        <v>0</v>
      </c>
      <c r="I31" s="59">
        <f>IF(C31="SWMAAC",$J$7*'1st IA Load Pricing Results'!K49/'1st IA Load Pricing Results'!$B$18,0)</f>
        <v>0</v>
      </c>
      <c r="J31" s="441">
        <f t="shared" si="11"/>
        <v>0</v>
      </c>
      <c r="K31" s="59">
        <f>IF(D31="PS",$J$8*'1st IA Load Pricing Results'!K49/'1st IA Load Pricing Results'!$K$53,0)</f>
        <v>0</v>
      </c>
      <c r="L31" s="441">
        <f t="shared" si="9"/>
        <v>0</v>
      </c>
      <c r="M31" s="59">
        <f>IF(D31="DPL",$J$9*'1st IA Load Pricing Results'!K49/'1st IA Load Pricing Results'!$K$46,0)</f>
        <v>0</v>
      </c>
      <c r="N31" s="441">
        <f t="shared" si="7"/>
        <v>0</v>
      </c>
      <c r="O31" s="59">
        <f>IF(D31="PEPCO",$J$10*'1st IA Load Pricing Results'!K49/'1st IA Load Pricing Results'!$K$51,0)</f>
        <v>0</v>
      </c>
      <c r="P31" s="441">
        <f t="shared" si="8"/>
        <v>0</v>
      </c>
      <c r="Q31" s="59">
        <f>IF(D31="ATSI",$J$11*'1st IA Load Pricing Results'!K49/'1st IA Load Pricing Results'!$K$39,0)</f>
        <v>0</v>
      </c>
      <c r="R31" s="441">
        <f t="shared" si="3"/>
        <v>0</v>
      </c>
      <c r="S31" s="57">
        <f t="shared" si="4"/>
        <v>874.4085426161594</v>
      </c>
      <c r="T31" s="60">
        <f t="shared" si="5"/>
        <v>3274.7606176745167</v>
      </c>
      <c r="U31" s="60">
        <f>T31/'1st IA Load Pricing Results'!K49</f>
        <v>0.3323200905637706</v>
      </c>
      <c r="V31" s="261">
        <f t="shared" si="6"/>
        <v>3.7451150784468537</v>
      </c>
    </row>
    <row r="32" spans="1:22" ht="12.75">
      <c r="A32" s="133" t="s">
        <v>14</v>
      </c>
      <c r="B32" s="85" t="s">
        <v>30</v>
      </c>
      <c r="C32" s="85"/>
      <c r="D32" s="85"/>
      <c r="E32" s="59">
        <f>IF(B32="MAAC",$J$5*'1st IA Load Pricing Results'!K50/'1st IA Load Pricing Results'!$B$16,0)</f>
        <v>35.738400061262425</v>
      </c>
      <c r="F32" s="441">
        <f t="shared" si="2"/>
        <v>1108.2451380976079</v>
      </c>
      <c r="G32" s="59">
        <f>IF(C32="EMAAC",$J$6*'1st IA Load Pricing Results'!K50/'1st IA Load Pricing Results'!$B$17,0)</f>
        <v>0</v>
      </c>
      <c r="H32" s="441">
        <f t="shared" si="10"/>
        <v>0</v>
      </c>
      <c r="I32" s="59">
        <f>IF(C32="SWMAAC",$J$7*'1st IA Load Pricing Results'!K50/'1st IA Load Pricing Results'!$B$18,0)</f>
        <v>0</v>
      </c>
      <c r="J32" s="441">
        <f t="shared" si="11"/>
        <v>0</v>
      </c>
      <c r="K32" s="59">
        <f>IF(D32="PS",$J$8*'1st IA Load Pricing Results'!K50/'1st IA Load Pricing Results'!$K$53,0)</f>
        <v>0</v>
      </c>
      <c r="L32" s="441">
        <f t="shared" si="9"/>
        <v>0</v>
      </c>
      <c r="M32" s="59">
        <f>IF(D32="DPL",$J$9*'1st IA Load Pricing Results'!K50/'1st IA Load Pricing Results'!$K$46,0)</f>
        <v>0</v>
      </c>
      <c r="N32" s="441">
        <f t="shared" si="7"/>
        <v>0</v>
      </c>
      <c r="O32" s="59">
        <f>IF(D32="PEPCO",$J$10*'1st IA Load Pricing Results'!K50/'1st IA Load Pricing Results'!$K$51,0)</f>
        <v>0</v>
      </c>
      <c r="P32" s="441">
        <f t="shared" si="8"/>
        <v>0</v>
      </c>
      <c r="Q32" s="59">
        <f>IF(D32="ATSI",$J$11*'1st IA Load Pricing Results'!K50/'1st IA Load Pricing Results'!$K$39,0)</f>
        <v>0</v>
      </c>
      <c r="R32" s="441">
        <f t="shared" si="3"/>
        <v>0</v>
      </c>
      <c r="S32" s="57">
        <f t="shared" si="4"/>
        <v>35.738400061262425</v>
      </c>
      <c r="T32" s="60">
        <f t="shared" si="5"/>
        <v>1108.2451380976079</v>
      </c>
      <c r="U32" s="60">
        <f>T32/'1st IA Load Pricing Results'!K50</f>
        <v>0.33232009056377065</v>
      </c>
      <c r="V32" s="261">
        <f t="shared" si="6"/>
        <v>31.00992591156472</v>
      </c>
    </row>
    <row r="33" spans="1:22" ht="12.75">
      <c r="A33" s="133" t="s">
        <v>15</v>
      </c>
      <c r="B33" s="85" t="s">
        <v>30</v>
      </c>
      <c r="C33" s="85" t="s">
        <v>5</v>
      </c>
      <c r="D33" s="85" t="s">
        <v>15</v>
      </c>
      <c r="E33" s="59">
        <f>IF(B33="MAAC",$J$5*'1st IA Load Pricing Results'!K51/'1st IA Load Pricing Results'!$B$16,0)</f>
        <v>81.26051489324216</v>
      </c>
      <c r="F33" s="441">
        <f t="shared" si="2"/>
        <v>2519.882546375041</v>
      </c>
      <c r="G33" s="59">
        <f>IF(C33="EMAAC",$J$6*'1st IA Load Pricing Results'!K51/'1st IA Load Pricing Results'!$B$17,0)</f>
        <v>0</v>
      </c>
      <c r="H33" s="441">
        <f t="shared" si="10"/>
        <v>0</v>
      </c>
      <c r="I33" s="59">
        <f>IF(C33="SWMAAC",$J$7*'1st IA Load Pricing Results'!K51/'1st IA Load Pricing Results'!$B$18,0)</f>
        <v>2102.321914004747</v>
      </c>
      <c r="J33" s="441">
        <f t="shared" si="11"/>
        <v>0</v>
      </c>
      <c r="K33" s="59">
        <f>IF(D33="PS",$J$8*'1st IA Load Pricing Results'!K51/'1st IA Load Pricing Results'!$K$53,0)</f>
        <v>0</v>
      </c>
      <c r="L33" s="441">
        <f t="shared" si="9"/>
        <v>0</v>
      </c>
      <c r="M33" s="59">
        <f>IF(D33="DPL",$J$9*'1st IA Load Pricing Results'!K51/'1st IA Load Pricing Results'!$K$46,0)</f>
        <v>0</v>
      </c>
      <c r="N33" s="441">
        <f>M33*N16</f>
        <v>0</v>
      </c>
      <c r="O33" s="59">
        <f>IF(D33="PEPCO",$J$10*'1st IA Load Pricing Results'!K51/'1st IA Load Pricing Results'!$K$51,0)</f>
        <v>2089.163487565492</v>
      </c>
      <c r="P33" s="441">
        <f>O33*$P$16</f>
        <v>0</v>
      </c>
      <c r="Q33" s="59">
        <f>IF(D33="ATSI",$J$11*'1st IA Load Pricing Results'!K51/'1st IA Load Pricing Results'!$K$39,0)</f>
        <v>0</v>
      </c>
      <c r="R33" s="441">
        <f t="shared" si="3"/>
        <v>0</v>
      </c>
      <c r="S33" s="57">
        <f t="shared" si="4"/>
        <v>2102.321914004747</v>
      </c>
      <c r="T33" s="60">
        <f t="shared" si="5"/>
        <v>2519.882546375041</v>
      </c>
      <c r="U33" s="60">
        <f>T33/'1st IA Load Pricing Results'!K51</f>
        <v>0.3323200905637706</v>
      </c>
      <c r="V33" s="261">
        <f t="shared" si="6"/>
        <v>1.198618788868007</v>
      </c>
    </row>
    <row r="34" spans="1:22" ht="12.75">
      <c r="A34" s="133" t="s">
        <v>10</v>
      </c>
      <c r="B34" s="85" t="s">
        <v>30</v>
      </c>
      <c r="C34" s="85"/>
      <c r="D34" s="85"/>
      <c r="E34" s="59">
        <f>IF(B34="MAAC",$J$5*'1st IA Load Pricing Results'!K52/'1st IA Load Pricing Results'!$B$16,0)</f>
        <v>89.92862186817753</v>
      </c>
      <c r="F34" s="441">
        <f t="shared" si="2"/>
        <v>2788.6799014613043</v>
      </c>
      <c r="G34" s="59">
        <f>IF(C34="EMAAC",$J$6*'1st IA Load Pricing Results'!K52/'1st IA Load Pricing Results'!$B$17,0)</f>
        <v>0</v>
      </c>
      <c r="H34" s="441">
        <f t="shared" si="10"/>
        <v>0</v>
      </c>
      <c r="I34" s="59">
        <f>IF(C34="SWMAAC",$J$7*'1st IA Load Pricing Results'!K52/'1st IA Load Pricing Results'!$B$18,0)</f>
        <v>0</v>
      </c>
      <c r="J34" s="441">
        <f t="shared" si="11"/>
        <v>0</v>
      </c>
      <c r="K34" s="59">
        <f>IF(D34="PS",$J$8*'1st IA Load Pricing Results'!K52/'1st IA Load Pricing Results'!$K$53,0)</f>
        <v>0</v>
      </c>
      <c r="L34" s="441">
        <f t="shared" si="9"/>
        <v>0</v>
      </c>
      <c r="M34" s="59">
        <f>IF(D34="DPL",$J$9*'1st IA Load Pricing Results'!K52/'1st IA Load Pricing Results'!$K$46,0)</f>
        <v>0</v>
      </c>
      <c r="N34" s="441">
        <f>M34*$N$16</f>
        <v>0</v>
      </c>
      <c r="O34" s="59">
        <f>IF(D34="PEPCO",$J$10*'1st IA Load Pricing Results'!K52/'1st IA Load Pricing Results'!$K$51,0)</f>
        <v>0</v>
      </c>
      <c r="P34" s="441">
        <f>O34*$P$16</f>
        <v>0</v>
      </c>
      <c r="Q34" s="59">
        <f>IF(D34="ATSI",$J$11*'1st IA Load Pricing Results'!K52/'1st IA Load Pricing Results'!$K$39,0)</f>
        <v>0</v>
      </c>
      <c r="R34" s="441">
        <f t="shared" si="3"/>
        <v>0</v>
      </c>
      <c r="S34" s="57">
        <f t="shared" si="4"/>
        <v>89.92862186817753</v>
      </c>
      <c r="T34" s="60">
        <f t="shared" si="5"/>
        <v>2788.6799014613043</v>
      </c>
      <c r="U34" s="60">
        <f>T34/'1st IA Load Pricing Results'!K52</f>
        <v>0.33232009056377065</v>
      </c>
      <c r="V34" s="261">
        <f t="shared" si="6"/>
        <v>31.00992591156472</v>
      </c>
    </row>
    <row r="35" spans="1:22" ht="12.75">
      <c r="A35" s="133" t="s">
        <v>8</v>
      </c>
      <c r="B35" s="85" t="s">
        <v>30</v>
      </c>
      <c r="C35" s="85" t="s">
        <v>41</v>
      </c>
      <c r="D35" s="85" t="s">
        <v>8</v>
      </c>
      <c r="E35" s="59">
        <f>IF(B35="MAAC",$J$5*'1st IA Load Pricing Results'!K53/'1st IA Load Pricing Results'!$B$16,0)</f>
        <v>126.3205409681542</v>
      </c>
      <c r="F35" s="441">
        <f t="shared" si="2"/>
        <v>3917.190616531238</v>
      </c>
      <c r="G35" s="59">
        <f>IF(C35="EMAAC",$J$6*'1st IA Load Pricing Results'!K53/'1st IA Load Pricing Results'!$B$17,0)</f>
        <v>1045.9466623801973</v>
      </c>
      <c r="H35" s="441">
        <f>G35*$H$16</f>
        <v>0</v>
      </c>
      <c r="I35" s="59">
        <f>IF(C35="SWMAAC",$J$7*'1st IA Load Pricing Results'!K53/'1st IA Load Pricing Results'!$B$18,0)</f>
        <v>0</v>
      </c>
      <c r="J35" s="441">
        <f t="shared" si="11"/>
        <v>0</v>
      </c>
      <c r="K35" s="59">
        <f>IF(D35="PS",$J$8*'1st IA Load Pricing Results'!K53/'1st IA Load Pricing Results'!$K$53,0)</f>
        <v>5037.570262053975</v>
      </c>
      <c r="L35" s="441">
        <f t="shared" si="9"/>
        <v>-1945.6553585412912</v>
      </c>
      <c r="M35" s="59">
        <f>IF(D35="DPL",$J$9*'1st IA Load Pricing Results'!K53/'1st IA Load Pricing Results'!$K$46,0)</f>
        <v>0</v>
      </c>
      <c r="N35" s="441">
        <f>M35*$N$16</f>
        <v>0</v>
      </c>
      <c r="O35" s="59">
        <f>IF(D35="PEPCO",$J$10*'1st IA Load Pricing Results'!K53/'1st IA Load Pricing Results'!$K$51,0)</f>
        <v>0</v>
      </c>
      <c r="P35" s="441">
        <f>O35*$P$16</f>
        <v>0</v>
      </c>
      <c r="Q35" s="59">
        <f>IF(D35="ATSI",$J$11*'1st IA Load Pricing Results'!K53/'1st IA Load Pricing Results'!$K$39,0)</f>
        <v>0</v>
      </c>
      <c r="R35" s="441">
        <f t="shared" si="3"/>
        <v>0</v>
      </c>
      <c r="S35" s="57">
        <f t="shared" si="4"/>
        <v>5037.570262053975</v>
      </c>
      <c r="T35" s="60">
        <f t="shared" si="5"/>
        <v>1971.5352579899468</v>
      </c>
      <c r="U35" s="60">
        <f>T35/'1st IA Load Pricing Results'!K53</f>
        <v>0.1672578231755961</v>
      </c>
      <c r="V35" s="261">
        <f t="shared" si="6"/>
        <v>0.3913663046728583</v>
      </c>
    </row>
    <row r="36" spans="1:22" ht="13.5" thickBot="1">
      <c r="A36" s="442" t="s">
        <v>18</v>
      </c>
      <c r="B36" s="443" t="s">
        <v>30</v>
      </c>
      <c r="C36" s="443" t="s">
        <v>41</v>
      </c>
      <c r="D36" s="443"/>
      <c r="E36" s="59">
        <f>IF(B36="MAAC",$J$5*'1st IA Load Pricing Results'!K54/'1st IA Load Pricing Results'!$B$16,0)</f>
        <v>4.962655465089678</v>
      </c>
      <c r="F36" s="444">
        <f t="shared" si="2"/>
        <v>153.89157829705266</v>
      </c>
      <c r="G36" s="59">
        <f>IF(C36="EMAAC",$J$6*'1st IA Load Pricing Results'!K54/'1st IA Load Pricing Results'!$B$17,0)</f>
        <v>41.09128159577768</v>
      </c>
      <c r="H36" s="444">
        <f>G36*$H$16</f>
        <v>0</v>
      </c>
      <c r="I36" s="59">
        <f>IF(C36="SWMAAC",$J$7*'1st IA Load Pricing Results'!K54/'1st IA Load Pricing Results'!$B$18,0)</f>
        <v>0</v>
      </c>
      <c r="J36" s="444">
        <f>I36*$J$16</f>
        <v>0</v>
      </c>
      <c r="K36" s="59">
        <f>IF(D36="PS",$J$8*'1st IA Load Pricing Results'!K54/'1st IA Load Pricing Results'!$K$53,0)</f>
        <v>0</v>
      </c>
      <c r="L36" s="444">
        <f>K36*$L$16</f>
        <v>0</v>
      </c>
      <c r="M36" s="59">
        <f>IF(D36="DPL",$J$9*'1st IA Load Pricing Results'!K54/'1st IA Load Pricing Results'!$K$46,0)</f>
        <v>0</v>
      </c>
      <c r="N36" s="444">
        <f>M36*$N$16</f>
        <v>0</v>
      </c>
      <c r="O36" s="59">
        <f>IF(D36="PEPCO",$J$10*'1st IA Load Pricing Results'!K54/'1st IA Load Pricing Results'!$K$51,0)</f>
        <v>0</v>
      </c>
      <c r="P36" s="444">
        <f>O36*$P$16</f>
        <v>0</v>
      </c>
      <c r="Q36" s="59">
        <f>IF(D36="ATSI",$J$11*'1st IA Load Pricing Results'!K54/'1st IA Load Pricing Results'!$K$39,0)</f>
        <v>0</v>
      </c>
      <c r="R36" s="441">
        <f t="shared" si="3"/>
        <v>0</v>
      </c>
      <c r="S36" s="57">
        <f t="shared" si="4"/>
        <v>41.09128159577768</v>
      </c>
      <c r="T36" s="60">
        <f t="shared" si="5"/>
        <v>153.89157829705266</v>
      </c>
      <c r="U36" s="60">
        <f>T36/'1st IA Load Pricing Results'!K54</f>
        <v>0.3323200905637706</v>
      </c>
      <c r="V36" s="285">
        <f t="shared" si="6"/>
        <v>3.745115078446853</v>
      </c>
    </row>
    <row r="37" spans="1:22" ht="13.5" thickBot="1">
      <c r="A37" s="718" t="s">
        <v>91</v>
      </c>
      <c r="B37" s="719"/>
      <c r="C37" s="719"/>
      <c r="D37" s="720"/>
      <c r="E37" s="445">
        <f aca="true" t="shared" si="12" ref="E37:O37">SUM(E18:E36)</f>
        <v>725.2586560192559</v>
      </c>
      <c r="F37" s="289">
        <f>SUM(F18:F36)</f>
        <v>22490.217189878127</v>
      </c>
      <c r="G37" s="445">
        <f t="shared" si="12"/>
        <v>3274.033348940733</v>
      </c>
      <c r="H37" s="289">
        <f t="shared" si="12"/>
        <v>0</v>
      </c>
      <c r="I37" s="445">
        <f t="shared" si="12"/>
        <v>4345.421230500472</v>
      </c>
      <c r="J37" s="289">
        <f>SUM(J18:J36)</f>
        <v>0</v>
      </c>
      <c r="K37" s="445">
        <f t="shared" si="12"/>
        <v>5037.570262053975</v>
      </c>
      <c r="L37" s="289">
        <f>SUM(L18:L36)</f>
        <v>-1945.6553585412912</v>
      </c>
      <c r="M37" s="445">
        <f t="shared" si="12"/>
        <v>0</v>
      </c>
      <c r="N37" s="289">
        <f t="shared" si="12"/>
        <v>0</v>
      </c>
      <c r="O37" s="445">
        <f t="shared" si="12"/>
        <v>2089.163487565492</v>
      </c>
      <c r="P37" s="289">
        <f>SUM(P18:P36)</f>
        <v>0</v>
      </c>
      <c r="Q37" s="445">
        <f>SUM(Q18:Q36)</f>
        <v>3793.8456546237117</v>
      </c>
      <c r="R37" s="289">
        <f>SUM(R18:R36)</f>
        <v>705958.7994123803</v>
      </c>
      <c r="S37" s="446"/>
      <c r="T37" s="289">
        <f>SUM(T18:T36)</f>
        <v>726503.361243717</v>
      </c>
      <c r="U37" s="290"/>
      <c r="V37" s="291"/>
    </row>
    <row r="38" spans="1:20" ht="12.75">
      <c r="A38" s="12" t="s">
        <v>92</v>
      </c>
      <c r="T38" s="360"/>
    </row>
    <row r="39" ht="12.75">
      <c r="A39" s="12" t="s">
        <v>265</v>
      </c>
    </row>
    <row r="40" ht="12.75">
      <c r="A40" s="12" t="s">
        <v>95</v>
      </c>
    </row>
    <row r="41" ht="12.75">
      <c r="A41" s="12" t="s">
        <v>266</v>
      </c>
    </row>
  </sheetData>
  <sheetProtection/>
  <mergeCells count="9">
    <mergeCell ref="Q15:R15"/>
    <mergeCell ref="O15:P15"/>
    <mergeCell ref="A37:D37"/>
    <mergeCell ref="A14:D16"/>
    <mergeCell ref="E15:F15"/>
    <mergeCell ref="G15:H15"/>
    <mergeCell ref="I15:J15"/>
    <mergeCell ref="K15:L15"/>
    <mergeCell ref="M15:N15"/>
  </mergeCells>
  <printOptions/>
  <pageMargins left="0.45" right="0.45" top="0.5" bottom="0.5" header="0.3" footer="0.3"/>
  <pageSetup fitToHeight="1" fitToWidth="1" horizontalDpi="600" verticalDpi="600" orientation="landscape" paperSize="5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Murty Bhavaraju</cp:lastModifiedBy>
  <cp:lastPrinted>2013-09-20T14:13:15Z</cp:lastPrinted>
  <dcterms:created xsi:type="dcterms:W3CDTF">2007-03-21T19:37:11Z</dcterms:created>
  <dcterms:modified xsi:type="dcterms:W3CDTF">2013-09-20T14:21:19Z</dcterms:modified>
  <cp:category/>
  <cp:version/>
  <cp:contentType/>
  <cp:contentStatus/>
</cp:coreProperties>
</file>