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2.xml" ContentType="application/vnd.openxmlformats-officedocument.spreadsheetml.externalLink+xml"/>
  <Override PartName="/customXml/itemProps1.xml" ContentType="application/vnd.openxmlformats-officedocument.customXmlProperties+xml"/>
  <Override PartName="/xl/externalLinks/externalLink5.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4.xml" ContentType="application/vnd.openxmlformats-officedocument.spreadsheetml.externalLink+xml"/>
  <Override PartName="/customXml/itemProps3.xml" ContentType="application/vnd.openxmlformats-officedocument.customXmlProperties+xml"/>
  <Override PartName="/xl/externalLinks/externalLink3.xml" ContentType="application/vnd.openxmlformats-officedocument.spreadsheetml.externalLink+xml"/>
  <Override PartName="/customXml/itemProps2.xml" ContentType="application/vnd.openxmlformats-officedocument.customXmlProperties+xml"/>
  <Default Extension="bin" ContentType="application/vnd.openxmlformats-officedocument.spreadsheetml.printerSettings"/>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codeName="ThisWorkbook" defaultThemeVersion="124226"/>
  <bookViews>
    <workbookView xWindow="0" yWindow="0" windowWidth="21840" windowHeight="11310" tabRatio="855" activeTab="0"/>
  </bookViews>
  <sheets>
    <sheet name="Attachment H-7" sheetId="1" r:id="rId1"/>
    <sheet name="1-Project Rev Req" sheetId="2" r:id="rId2"/>
    <sheet name="2-Incentive ROE" sheetId="16" r:id="rId3"/>
    <sheet name="3-Project True-up" sheetId="21" r:id="rId4"/>
    <sheet name="4- Rate Base" sheetId="5" r:id="rId5"/>
    <sheet name="4A - ADIT Summary" sheetId="27" r:id="rId6"/>
    <sheet name="4B - ADIT BOY" sheetId="28" r:id="rId7"/>
    <sheet name="4C - ADIT EOY" sheetId="29" r:id="rId8"/>
    <sheet name="4D - Intangible Pnt" sheetId="33" r:id="rId9"/>
    <sheet name="4E COA" sheetId="49" r:id="rId10"/>
    <sheet name="5-P3 Support" sheetId="6" r:id="rId11"/>
    <sheet name="5A - Revenue Credits" sheetId="30" r:id="rId12"/>
    <sheet name="5B - A&amp;G" sheetId="32" r:id="rId13"/>
    <sheet name="6-True-Up Interest" sheetId="7" r:id="rId14"/>
    <sheet name="7 - PBOP" sheetId="17" r:id="rId15"/>
    <sheet name="8 - Depreciation Rates" sheetId="52" r:id="rId16"/>
  </sheets>
  <externalReferences>
    <externalReference r:id="rId17"/>
    <externalReference r:id="rId18"/>
    <externalReference r:id="rId19"/>
    <externalReference r:id="rId20"/>
    <externalReference r:id="rId21"/>
  </externalReferences>
  <definedNames>
    <definedName name="_1K" hidden="1">[1]Masterdata!#REF!</definedName>
    <definedName name="_2K" hidden="1">[1]Masterdata!#REF!</definedName>
    <definedName name="_2S" hidden="1">[1]Masterdata!#REF!</definedName>
    <definedName name="_4S" hidden="1">[1]Masterdata!#REF!</definedName>
    <definedName name="_FEB01" localSheetId="5" hidden="1">{#N/A,#N/A,FALSE,"EMPPAY"}</definedName>
    <definedName name="_FEB01" localSheetId="6" hidden="1">{#N/A,#N/A,FALSE,"EMPPAY"}</definedName>
    <definedName name="_FEB01" localSheetId="7" hidden="1">{#N/A,#N/A,FALSE,"EMPPAY"}</definedName>
    <definedName name="_FEB01" hidden="1">{#N/A,#N/A,FALSE,"EMPPAY"}</definedName>
    <definedName name="_Fill" localSheetId="8" hidden="1">#REF!</definedName>
    <definedName name="_Fill" hidden="1">#REF!</definedName>
    <definedName name="_JAN01" localSheetId="5" hidden="1">{#N/A,#N/A,FALSE,"EMPPAY"}</definedName>
    <definedName name="_JAN01" localSheetId="6" hidden="1">{#N/A,#N/A,FALSE,"EMPPAY"}</definedName>
    <definedName name="_JAN01" localSheetId="7" hidden="1">{#N/A,#N/A,FALSE,"EMPPAY"}</definedName>
    <definedName name="_JAN01" hidden="1">{#N/A,#N/A,FALSE,"EMPPAY"}</definedName>
    <definedName name="_JAN2001" localSheetId="5" hidden="1">{#N/A,#N/A,FALSE,"EMPPAY"}</definedName>
    <definedName name="_JAN2001" localSheetId="6" hidden="1">{#N/A,#N/A,FALSE,"EMPPAY"}</definedName>
    <definedName name="_JAN2001" localSheetId="7" hidden="1">{#N/A,#N/A,FALSE,"EMPPAY"}</definedName>
    <definedName name="_JAN2001" hidden="1">{#N/A,#N/A,FALSE,"EMPPAY"}</definedName>
    <definedName name="_Order1" hidden="1">255</definedName>
    <definedName name="_Order2" hidden="1">0</definedName>
    <definedName name="_ryr56565" hidden="1">{#N/A,#N/A,FALSE,"Monthly SAIFI";#N/A,#N/A,FALSE,"Yearly SAIFI";#N/A,#N/A,FALSE,"Monthly CAIDI";#N/A,#N/A,FALSE,"Yearly CAIDI";#N/A,#N/A,FALSE,"Monthly SAIDI";#N/A,#N/A,FALSE,"Yearly SAIDI";#N/A,#N/A,FALSE,"Monthly MAIFI";#N/A,#N/A,FALSE,"Yearly MAIFI";#N/A,#N/A,FALSE,"Monthly Cust &gt;=4 Int"}</definedName>
    <definedName name="A" localSheetId="5" hidden="1">{#N/A,#N/A,FALSE,"EMPPAY"}</definedName>
    <definedName name="A" localSheetId="6" hidden="1">{#N/A,#N/A,FALSE,"EMPPAY"}</definedName>
    <definedName name="A" localSheetId="7" hidden="1">{#N/A,#N/A,FALSE,"EMPPAY"}</definedName>
    <definedName name="A" hidden="1">{#N/A,#N/A,FALSE,"EMPPAY"}</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dfsadfds" hidden="1">{#N/A,#N/A,FALSE,"Monthly SAIFI";#N/A,#N/A,FALSE,"Yearly SAIFI";#N/A,#N/A,FALSE,"Monthly CAIDI";#N/A,#N/A,FALSE,"Yearly CAIDI";#N/A,#N/A,FALSE,"Monthly SAIDI";#N/A,#N/A,FALSE,"Yearly SAIDI";#N/A,#N/A,FALSE,"Monthly MAIFI";#N/A,#N/A,FALSE,"Yearly MAIFI";#N/A,#N/A,FALSE,"Monthly Cust &gt;=4 Int"}</definedName>
    <definedName name="Alignment" hidden="1">"a1"</definedName>
    <definedName name="alsdfa" hidden="1">{#N/A,#N/A,FALSE,"Monthly SAIFI";#N/A,#N/A,FALSE,"Yearly SAIFI";#N/A,#N/A,FALSE,"Monthly CAIDI";#N/A,#N/A,FALSE,"Yearly CAIDI";#N/A,#N/A,FALSE,"Monthly SAIDI";#N/A,#N/A,FALSE,"Yearly SAIDI";#N/A,#N/A,FALSE,"Monthly MAIFI";#N/A,#N/A,FALSE,"Yearly MAIFI";#N/A,#N/A,FALSE,"Monthly Cust &gt;=4 Int"}</definedName>
    <definedName name="anscount" hidden="1">1</definedName>
    <definedName name="AS2DocOpenMode" hidden="1">"AS2DocumentEdit"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ny" hidden="1">{#N/A,#N/A,FALSE,"Monthly SAIFI";#N/A,#N/A,FALSE,"Yearly SAIFI";#N/A,#N/A,FALSE,"Monthly CAIDI";#N/A,#N/A,FALSE,"Yearly CAIDI";#N/A,#N/A,FALSE,"Monthly SAIDI";#N/A,#N/A,FALSE,"Yearly SAIDI";#N/A,#N/A,FALSE,"Monthly MAIFI";#N/A,#N/A,FALSE,"Yearly MAIFI";#N/A,#N/A,FALSE,"Monthly Cust &gt;=4 Int"}</definedName>
    <definedName name="can" hidden="1">{#N/A,#N/A,FALSE,"O&amp;M by processes";#N/A,#N/A,FALSE,"Elec Act vs Bud";#N/A,#N/A,FALSE,"G&amp;A";#N/A,#N/A,FALSE,"BGS";#N/A,#N/A,FALSE,"Res Cost"}</definedName>
    <definedName name="cbcvbcv"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lientMatter" hidden="1">"b1"</definedName>
    <definedName name="CompanyName">'[2]Title Page'!$A$22</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SDD" hidden="1">{#N/A,#N/A,FALSE,"Monthly SAIFI";#N/A,#N/A,FALSE,"Yearly SAIFI";#N/A,#N/A,FALSE,"Monthly CAIDI";#N/A,#N/A,FALSE,"Yearly CAIDI";#N/A,#N/A,FALSE,"Monthly SAIDI";#N/A,#N/A,FALSE,"Yearly SAIDI";#N/A,#N/A,FALSE,"Monthly MAIFI";#N/A,#N/A,FALSE,"Yearly MAIFI";#N/A,#N/A,FALSE,"Monthly Cust &gt;=4 Int"}</definedName>
    <definedName name="DATAFEEDER">[0]!DATAFEEDER</definedName>
    <definedName name="Date" hidden="1">"b1"</definedName>
    <definedName name="dd"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C00" localSheetId="5" hidden="1">{#N/A,#N/A,FALSE,"ARREC"}</definedName>
    <definedName name="DEC00" localSheetId="6" hidden="1">{#N/A,#N/A,FALSE,"ARREC"}</definedName>
    <definedName name="DEC00" localSheetId="7" hidden="1">{#N/A,#N/A,FALSE,"ARREC"}</definedName>
    <definedName name="DEC00" hidden="1">{#N/A,#N/A,FALSE,"ARREC"}</definedName>
    <definedName name="delete" hidden="1">{#N/A,#N/A,FALSE,"CURRENT"}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ocumentName" hidden="1">"b1"</definedName>
    <definedName name="DocumentNum" hidden="1">"a1"</definedName>
    <definedName name="dskdlss"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e" hidden="1">{#N/A,#N/A,FALSE,"O&amp;M by processes";#N/A,#N/A,FALSE,"Elec Act vs Bud";#N/A,#N/A,FALSE,"G&amp;A";#N/A,#N/A,FALSE,"BGS";#N/A,#N/A,FALSE,"Res Cost"}</definedName>
    <definedName name="EssOptions">"1100000000130100_11-          00"</definedName>
    <definedName name="EV__LASTREFTIME__" hidden="1">39826.8319444444</definedName>
    <definedName name="f"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00" localSheetId="5" hidden="1">{#N/A,#N/A,FALSE,"ARREC"}</definedName>
    <definedName name="FEB00" localSheetId="6" hidden="1">{#N/A,#N/A,FALSE,"ARREC"}</definedName>
    <definedName name="FEB00" localSheetId="7" hidden="1">{#N/A,#N/A,FALSE,"ARREC"}</definedName>
    <definedName name="FEB00" hidden="1">{#N/A,#N/A,FALSE,"ARREC"}</definedName>
    <definedName name="ff"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h"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Library" hidden="1">"a1"</definedName>
    <definedName name="limcount" hidden="1">1</definedName>
    <definedName name="loilpuioopy"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Y" localSheetId="5" hidden="1">{#N/A,#N/A,FALSE,"EMPPAY"}</definedName>
    <definedName name="MAY" localSheetId="6" hidden="1">{#N/A,#N/A,FALSE,"EMPPAY"}</definedName>
    <definedName name="MAY" localSheetId="7" hidden="1">{#N/A,#N/A,FALSE,"EMPPAY"}</definedName>
    <definedName name="MAY" hidden="1">{#N/A,#N/A,FALSE,"EMPPAY"}</definedName>
    <definedName name="New_99_IS">'[3]2nd qtr 2000'!$A$1:$I$58,'[3]2nd qtr 2000'!$K$1:$T$58,'[3]2nd qtr 2000'!$V$1:$AI$58</definedName>
    <definedName name="November09" hidden="1">{#N/A,#N/A,FALSE,"Monthly SAIFI";#N/A,#N/A,FALSE,"Yearly SAIFI";#N/A,#N/A,FALSE,"Monthly CAIDI";#N/A,#N/A,FALSE,"Yearly CAIDI";#N/A,#N/A,FALSE,"Monthly SAIDI";#N/A,#N/A,FALSE,"Yearly SAIDI";#N/A,#N/A,FALSE,"Monthly MAIFI";#N/A,#N/A,FALSE,"Yearly MAIFI";#N/A,#N/A,FALSE,"Monthly Cust &gt;=4 Int"}</definedName>
    <definedName name="NvsASD">"V2003-01-31"</definedName>
    <definedName name="NvsAutoDrillOk">"VN"</definedName>
    <definedName name="NvsElapsedTime">0.000885069443029352</definedName>
    <definedName name="NvsEndTime">37660.0906980324</definedName>
    <definedName name="NvsInstSpec">"%,FBUSINESS_UNIT,TBU_ROLLUP,NPED,FDEPTID,TDEPT_ROLLUP,NCFO_VP_FINANCE"</definedName>
    <definedName name="NvsLayoutType">"M3"</definedName>
    <definedName name="NvsNplSpec">"%,X,RZF..,CZF.."</definedName>
    <definedName name="NvsPanelEffdt">"V1990-01-02"</definedName>
    <definedName name="NvsPanelSetid">"VPESHR"</definedName>
    <definedName name="NvsReqBU">"V10200"</definedName>
    <definedName name="NvsReqBUOnly">"VN"</definedName>
    <definedName name="NvsTransLed">"VN"</definedName>
    <definedName name="NvsTreeASD">"V2003-01-31"</definedName>
    <definedName name="NvsValTbl.ACCOUNT">"GL_ACCOUNT_TBL"</definedName>
    <definedName name="Print_99_IS">'[3]2nd qtr 2000'!$D$1:$I$58,'[3]2nd qtr 2000'!$N$1:$T$58,'[3]2nd qtr 2000'!$AA$1:$AH$57</definedName>
    <definedName name="_xlnm.Print_Area" localSheetId="1">'1-Project Rev Req'!$A$1:$S$118</definedName>
    <definedName name="_xlnm.Print_Area" localSheetId="2">'2-Incentive ROE'!$A$1:$K$48</definedName>
    <definedName name="_xlnm.Print_Area" localSheetId="4">'4- Rate Base'!$A$1:$L$80</definedName>
    <definedName name="_xlnm.Print_Area" localSheetId="5">'4A - ADIT Summary'!$A$1:$M$98</definedName>
    <definedName name="_xlnm.Print_Area" localSheetId="6">'4B - ADIT BOY'!$A$1:$H$159</definedName>
    <definedName name="_xlnm.Print_Area" localSheetId="8">'4D - Intangible Pnt'!$A$1:$T$107</definedName>
    <definedName name="_xlnm.Print_Area" localSheetId="11">'5A - Revenue Credits'!$A$1:$H$90</definedName>
    <definedName name="_xlnm.Print_Area" localSheetId="12">'5B - A&amp;G'!$A$1:$J$29</definedName>
    <definedName name="_xlnm.Print_Area" localSheetId="10">'5-P3 Support'!$A$1:$M$52</definedName>
    <definedName name="_xlnm.Print_Area" localSheetId="13">'6-True-Up Interest'!$A$1:$I$70</definedName>
    <definedName name="_xlnm.Print_Area" localSheetId="14">'7 - PBOP'!$A$1:$F$25</definedName>
    <definedName name="_xlnm.Print_Area" localSheetId="15">'8 - Depreciation Rates'!$A$1:$K$82</definedName>
    <definedName name="_xlnm.Print_Area" localSheetId="0">'Attachment H-7'!$A$1:$K$248</definedName>
    <definedName name="Print_TFI_use">'[4]TFI use'!$A$1:$P$40,'[4]TFI use'!$A$42:$P$65,'[4]TFI use'!$A$67:$R$84</definedName>
    <definedName name="reawreqw" hidden="1">{#N/A,#N/A,FALSE,"Monthly SAIFI";#N/A,#N/A,FALSE,"Yearly SAIFI";#N/A,#N/A,FALSE,"Monthly CAIDI";#N/A,#N/A,FALSE,"Yearly CAIDI";#N/A,#N/A,FALSE,"Monthly SAIDI";#N/A,#N/A,FALSE,"Yearly SAIDI";#N/A,#N/A,FALSE,"Monthly MAIFI";#N/A,#N/A,FALSE,"Yearly MAIFI";#N/A,#N/A,FALSE,"Monthly Cust &gt;=4 Int"}</definedName>
    <definedName name="rrrr" hidden="1">{#N/A,#N/A,FALSE,"O&amp;M by processes";#N/A,#N/A,FALSE,"Elec Act vs Bud";#N/A,#N/A,FALSE,"G&amp;A";#N/A,#N/A,FALSE,"BGS";#N/A,#N/A,FALSE,"Res Cost"}</definedName>
    <definedName name="saSAsa"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ptember09Billed"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iva" hidden="1">{#N/A,#N/A,FALSE,"O&amp;M by processes";#N/A,#N/A,FALSE,"Elec Act vs Bud";#N/A,#N/A,FALSE,"G&amp;A";#N/A,#N/A,FALSE,"BGS";#N/A,#N/A,FALSE,"Res Cost"}</definedName>
    <definedName name="slldk" hidden="1">{#N/A,#N/A,FALSE,"Monthly SAIFI";#N/A,#N/A,FALSE,"Yearly SAIFI";#N/A,#N/A,FALSE,"Monthly CAIDI";#N/A,#N/A,FALSE,"Yearly CAIDI";#N/A,#N/A,FALSE,"Monthly SAIDI";#N/A,#N/A,FALSE,"Yearly SAIDI";#N/A,#N/A,FALSE,"Monthly MAIFI";#N/A,#N/A,FALSE,"Yearly MAIFI";#N/A,#N/A,FALSE,"Monthly Cust &gt;=4 Int"}</definedName>
    <definedName name="solver_lin" hidden="1">0</definedName>
    <definedName name="solver_num" hidden="1">0</definedName>
    <definedName name="solver_opt" hidden="1">#REF!</definedName>
    <definedName name="solver_typ" hidden="1">1</definedName>
    <definedName name="solver_val" hidden="1">0</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EST" localSheetId="5" hidden="1">{#N/A,#N/A,FALSE,"EMPPAY"}</definedName>
    <definedName name="TEST" localSheetId="6" hidden="1">{#N/A,#N/A,FALSE,"EMPPAY"}</definedName>
    <definedName name="TEST" localSheetId="7" hidden="1">{#N/A,#N/A,FALSE,"EMPPAY"}</definedName>
    <definedName name="TEST" hidden="1">{#N/A,#N/A,FALSE,"EMPPAY"}</definedName>
    <definedName name="Time" hidden="1">"b1"</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ypist" hidden="1">"b1"</definedName>
    <definedName name="tyty"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rsion" hidden="1">"a1"</definedName>
    <definedName name="wer" hidden="1">{#N/A,#N/A,FALSE,"Monthly SAIFI";#N/A,#N/A,FALSE,"Yearly SAIFI";#N/A,#N/A,FALSE,"Monthly CAIDI";#N/A,#N/A,FALSE,"Yearly CAIDI";#N/A,#N/A,FALSE,"Monthly SAIDI";#N/A,#N/A,FALSE,"Yearly SAIDI";#N/A,#N/A,FALSE,"Monthly MAIFI";#N/A,#N/A,FALSE,"Yearly MAIFI";#N/A,#N/A,FALSE,"Monthly Cust &gt;=4 Int"}</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RREC." localSheetId="5" hidden="1">{#N/A,#N/A,FALSE,"ARREC"}</definedName>
    <definedName name="wrn.ARREC." localSheetId="6" hidden="1">{#N/A,#N/A,FALSE,"ARREC"}</definedName>
    <definedName name="wrn.ARREC." localSheetId="7" hidden="1">{#N/A,#N/A,FALSE,"ARREC"}</definedName>
    <definedName name="wrn.ARREC." hidden="1">{#N/A,#N/A,FALSE,"ARREC"}</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localSheetId="5" hidden="1">{#N/A,#N/A,FALSE,"EMPPAY"}</definedName>
    <definedName name="wrn.EMPPAY." localSheetId="6" hidden="1">{#N/A,#N/A,FALSE,"EMPPAY"}</definedName>
    <definedName name="wrn.EMPPAY." localSheetId="7" hidden="1">{#N/A,#N/A,FALSE,"EMPPAY"}</definedName>
    <definedName name="wrn.EMPPAY." hidden="1">{#N/A,#N/A,FALSE,"EMPPAY"}</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x" localSheetId="5" hidden="1">{#N/A,#N/A,FALSE,"EMPPAY"}</definedName>
    <definedName name="xx" localSheetId="6" hidden="1">{#N/A,#N/A,FALSE,"EMPPAY"}</definedName>
    <definedName name="xx" localSheetId="7" hidden="1">{#N/A,#N/A,FALSE,"EMPPAY"}</definedName>
    <definedName name="xx" hidden="1">{#N/A,#N/A,FALSE,"EMPPAY"}</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 hidden="1">{#N/A,#N/A,FALSE,"Monthly SAIFI";#N/A,#N/A,FALSE,"Yearly SAIFI";#N/A,#N/A,FALSE,"Monthly CAIDI";#N/A,#N/A,FALSE,"Yearly CAIDI";#N/A,#N/A,FALSE,"Monthly SAIDI";#N/A,#N/A,FALSE,"Yearly SAIDI";#N/A,#N/A,FALSE,"Monthly MAIFI";#N/A,#N/A,FALSE,"Yearly MAIFI";#N/A,#N/A,FALSE,"Monthly Cust &gt;=4 Int"}</definedName>
    <definedName name="Year">[5]Rev_Req!$I$5</definedName>
    <definedName name="yryryrr"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F04A2B9A_C6FE_4FEB_AD1E_2CF9AC309BE4_.wvu.PrintArea" localSheetId="1" hidden="1">'1-Project Rev Req'!$A$1:$Q$114</definedName>
    <definedName name="Z_F04A2B9A_C6FE_4FEB_AD1E_2CF9AC309BE4_.wvu.PrintArea" localSheetId="3" hidden="1">'3-Project True-up'!$A$1:$L$24</definedName>
    <definedName name="Z_F04A2B9A_C6FE_4FEB_AD1E_2CF9AC309BE4_.wvu.PrintArea" localSheetId="4" hidden="1">'4- Rate Base'!$A$1:$L$46</definedName>
    <definedName name="Z_F04A2B9A_C6FE_4FEB_AD1E_2CF9AC309BE4_.wvu.PrintArea" localSheetId="0" hidden="1">'Attachment H-7'!$A$1:$K$241</definedName>
  </definedNames>
  <calcPr calcId="171027"/>
  <customWorkbookViews>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s>
</workbook>
</file>

<file path=xl/calcChain.xml><?xml version="1.0" encoding="utf-8"?>
<calcChain xmlns="http://schemas.openxmlformats.org/spreadsheetml/2006/main">
  <c r="K95" i="2" l="1"/>
  <c r="I44" i="6" l="1"/>
  <c r="G199" i="1"/>
  <c r="F148" i="28" l="1"/>
  <c r="G148" i="28"/>
  <c r="C148" i="28"/>
  <c r="E148" i="28"/>
  <c r="D148" i="28"/>
  <c r="E97" i="29" l="1"/>
  <c r="F97" i="29"/>
  <c r="G151" i="29"/>
  <c r="C151" i="29"/>
  <c r="D62" i="29"/>
  <c r="C97" i="29"/>
  <c r="G62" i="29"/>
  <c r="C62" i="29"/>
  <c r="F62" i="29"/>
  <c r="F151" i="29"/>
  <c r="E62" i="29"/>
  <c r="D97" i="29"/>
  <c r="E151" i="29"/>
  <c r="D151" i="29"/>
  <c r="C100" i="29" l="1"/>
  <c r="H21" i="6" l="1"/>
  <c r="G21" i="6"/>
  <c r="E21" i="6"/>
  <c r="I24" i="32" l="1"/>
  <c r="C75" i="30"/>
  <c r="G72" i="30"/>
  <c r="E86" i="30" l="1"/>
  <c r="D86" i="30"/>
  <c r="G75" i="30"/>
  <c r="F75" i="30"/>
  <c r="E75" i="30"/>
  <c r="D76" i="1" l="1"/>
  <c r="C65" i="29" l="1"/>
  <c r="D154" i="29"/>
  <c r="D82" i="30" l="1"/>
  <c r="H18" i="21" l="1"/>
  <c r="J69" i="52" l="1"/>
  <c r="I61" i="52"/>
  <c r="F61" i="52" s="1"/>
  <c r="D20" i="17"/>
  <c r="D19" i="17"/>
  <c r="C21" i="17"/>
  <c r="F11" i="17"/>
  <c r="E26" i="7" l="1"/>
  <c r="G21" i="32"/>
  <c r="D70" i="30"/>
  <c r="D75" i="30" s="1"/>
  <c r="G64" i="30" l="1"/>
  <c r="F64" i="30"/>
  <c r="E64" i="30"/>
  <c r="D64" i="30"/>
  <c r="D61" i="30"/>
  <c r="F52" i="30"/>
  <c r="J29" i="6" l="1"/>
  <c r="C21" i="6"/>
  <c r="J12" i="6"/>
  <c r="F12" i="6"/>
  <c r="I59" i="5" l="1"/>
  <c r="D65" i="5" l="1"/>
  <c r="D190" i="1" l="1"/>
  <c r="F51" i="1" l="1"/>
  <c r="H29" i="27" l="1"/>
  <c r="H69" i="52" l="1"/>
  <c r="G69" i="52"/>
  <c r="I67" i="52"/>
  <c r="F67" i="52" s="1"/>
  <c r="I66" i="52"/>
  <c r="F66" i="52" s="1"/>
  <c r="I65" i="52"/>
  <c r="F65" i="52" s="1"/>
  <c r="I64" i="52"/>
  <c r="F64" i="52" s="1"/>
  <c r="I63" i="52"/>
  <c r="F63" i="52" s="1"/>
  <c r="I62" i="52"/>
  <c r="F62" i="52" s="1"/>
  <c r="I60" i="52"/>
  <c r="F60" i="52" s="1"/>
  <c r="I59" i="52"/>
  <c r="F59" i="52" s="1"/>
  <c r="I58" i="52"/>
  <c r="F58" i="52" s="1"/>
  <c r="I57" i="52"/>
  <c r="F57" i="52" s="1"/>
  <c r="I56" i="52"/>
  <c r="F56" i="52" s="1"/>
  <c r="I55" i="52"/>
  <c r="F55" i="52" s="1"/>
  <c r="I54" i="52"/>
  <c r="F54" i="52" s="1"/>
  <c r="I53" i="52"/>
  <c r="F53" i="52" s="1"/>
  <c r="I52" i="52"/>
  <c r="F52" i="52" s="1"/>
  <c r="I51" i="52"/>
  <c r="F51" i="52" s="1"/>
  <c r="I50" i="52"/>
  <c r="I49" i="52"/>
  <c r="F49" i="52"/>
  <c r="G43" i="52"/>
  <c r="I42" i="52"/>
  <c r="J43" i="52"/>
  <c r="H43" i="52"/>
  <c r="J38" i="52"/>
  <c r="H38" i="52"/>
  <c r="I37" i="52"/>
  <c r="F37" i="52" s="1"/>
  <c r="I36" i="52"/>
  <c r="F36" i="52" s="1"/>
  <c r="I35" i="52"/>
  <c r="F35" i="52" s="1"/>
  <c r="I34" i="52"/>
  <c r="F34" i="52" s="1"/>
  <c r="I33" i="52"/>
  <c r="F33" i="52" s="1"/>
  <c r="I32" i="52"/>
  <c r="F32" i="52" s="1"/>
  <c r="I31" i="52"/>
  <c r="F31" i="52" s="1"/>
  <c r="I30" i="52"/>
  <c r="F30" i="52" s="1"/>
  <c r="I29" i="52"/>
  <c r="F29" i="52" s="1"/>
  <c r="I28" i="52"/>
  <c r="F28" i="52" s="1"/>
  <c r="I27" i="52"/>
  <c r="F27" i="52" s="1"/>
  <c r="I26" i="52"/>
  <c r="F26" i="52" s="1"/>
  <c r="J23" i="52"/>
  <c r="H23" i="52"/>
  <c r="I22" i="52"/>
  <c r="F22" i="52" s="1"/>
  <c r="I21" i="52"/>
  <c r="F21" i="52" s="1"/>
  <c r="I20" i="52"/>
  <c r="F20" i="52" s="1"/>
  <c r="I19" i="52"/>
  <c r="F19" i="52" s="1"/>
  <c r="I18" i="52"/>
  <c r="F18" i="52" s="1"/>
  <c r="I17" i="52"/>
  <c r="F17" i="52" s="1"/>
  <c r="I15" i="52"/>
  <c r="F15" i="52" s="1"/>
  <c r="I68" i="52" l="1"/>
  <c r="F68" i="52" s="1"/>
  <c r="G23" i="52"/>
  <c r="I16" i="52"/>
  <c r="I38" i="52"/>
  <c r="G38" i="52"/>
  <c r="I41" i="52"/>
  <c r="I43" i="52" s="1"/>
  <c r="I69" i="52" l="1"/>
  <c r="F16" i="52"/>
  <c r="I23" i="52"/>
  <c r="D154" i="1" l="1"/>
  <c r="E26" i="16" s="1"/>
  <c r="F10" i="17"/>
  <c r="C3" i="17"/>
  <c r="D69" i="7"/>
  <c r="D68" i="7"/>
  <c r="D67" i="7"/>
  <c r="C41" i="7"/>
  <c r="B41" i="7"/>
  <c r="F41" i="7"/>
  <c r="E3" i="7"/>
  <c r="E24" i="32"/>
  <c r="G23" i="32"/>
  <c r="J23" i="32" s="1"/>
  <c r="G22" i="32"/>
  <c r="J22" i="32" s="1"/>
  <c r="J21" i="32"/>
  <c r="I20" i="32"/>
  <c r="J20" i="32" s="1"/>
  <c r="G19" i="32"/>
  <c r="J19" i="32" s="1"/>
  <c r="I18" i="32"/>
  <c r="G17" i="32"/>
  <c r="J17" i="32" s="1"/>
  <c r="G16" i="32"/>
  <c r="J16" i="32" s="1"/>
  <c r="G15" i="32"/>
  <c r="J15" i="32" s="1"/>
  <c r="H14" i="32"/>
  <c r="J14" i="32" s="1"/>
  <c r="G13" i="32"/>
  <c r="J13" i="32" s="1"/>
  <c r="G12" i="32"/>
  <c r="J12" i="32" s="1"/>
  <c r="G11" i="32"/>
  <c r="J11" i="32" s="1"/>
  <c r="A11" i="32"/>
  <c r="A12" i="32" s="1"/>
  <c r="A13" i="32" s="1"/>
  <c r="A14" i="32" s="1"/>
  <c r="A15" i="32" s="1"/>
  <c r="A16" i="32" s="1"/>
  <c r="A17" i="32" s="1"/>
  <c r="A18" i="32" s="1"/>
  <c r="A19" i="32" s="1"/>
  <c r="A20" i="32" s="1"/>
  <c r="A21" i="32" s="1"/>
  <c r="A22" i="32" s="1"/>
  <c r="A23" i="32" s="1"/>
  <c r="A24" i="32" s="1"/>
  <c r="A26" i="32" s="1"/>
  <c r="A27" i="32" s="1"/>
  <c r="G10" i="32"/>
  <c r="G86" i="30"/>
  <c r="F86" i="30"/>
  <c r="C86" i="30"/>
  <c r="D84" i="30"/>
  <c r="E83" i="30"/>
  <c r="D13" i="30" s="1"/>
  <c r="E81" i="30"/>
  <c r="D80" i="30"/>
  <c r="E77" i="30"/>
  <c r="D71" i="30"/>
  <c r="D69" i="30"/>
  <c r="C64" i="30"/>
  <c r="F62" i="30"/>
  <c r="E60" i="30"/>
  <c r="D6" i="30" s="1"/>
  <c r="D32" i="30" s="1"/>
  <c r="E59" i="30"/>
  <c r="D58" i="30"/>
  <c r="D66" i="30" s="1"/>
  <c r="D54" i="30"/>
  <c r="E52" i="30"/>
  <c r="B52" i="30"/>
  <c r="F51" i="30"/>
  <c r="A8" i="30"/>
  <c r="A12" i="30" s="1"/>
  <c r="A13" i="30" s="1"/>
  <c r="A14" i="30" s="1"/>
  <c r="A15" i="30" s="1"/>
  <c r="A16" i="30" s="1"/>
  <c r="A17" i="30" s="1"/>
  <c r="A18" i="30" s="1"/>
  <c r="A19" i="30" s="1"/>
  <c r="A20" i="30" s="1"/>
  <c r="A22" i="30" s="1"/>
  <c r="A23" i="30" s="1"/>
  <c r="A24" i="30" s="1"/>
  <c r="C14" i="1" s="1"/>
  <c r="A7" i="30"/>
  <c r="I42" i="6"/>
  <c r="G197" i="1" s="1"/>
  <c r="H12" i="16" s="1"/>
  <c r="A29" i="6"/>
  <c r="A31" i="6" s="1"/>
  <c r="A33" i="6" s="1"/>
  <c r="A34" i="6" s="1"/>
  <c r="A35" i="6" s="1"/>
  <c r="A36" i="6" s="1"/>
  <c r="A37" i="6" s="1"/>
  <c r="A42" i="6" s="1"/>
  <c r="A43" i="6" s="1"/>
  <c r="A44" i="6" s="1"/>
  <c r="A45" i="6" s="1"/>
  <c r="D138" i="1"/>
  <c r="H12" i="6"/>
  <c r="D114" i="1"/>
  <c r="I114" i="1" s="1"/>
  <c r="G3" i="6"/>
  <c r="G25" i="6" s="1"/>
  <c r="D85" i="49"/>
  <c r="C85" i="49"/>
  <c r="D84" i="49"/>
  <c r="C84" i="49"/>
  <c r="D83" i="49"/>
  <c r="C83" i="49"/>
  <c r="D82" i="49"/>
  <c r="C82" i="49"/>
  <c r="D81" i="49"/>
  <c r="C81" i="49"/>
  <c r="D80" i="49"/>
  <c r="C80" i="49"/>
  <c r="D79" i="49"/>
  <c r="C79" i="49"/>
  <c r="D78" i="49"/>
  <c r="C78" i="49"/>
  <c r="D77" i="49"/>
  <c r="D76" i="49"/>
  <c r="D75" i="49"/>
  <c r="C75" i="49"/>
  <c r="D74" i="49"/>
  <c r="C74" i="49"/>
  <c r="G69" i="49"/>
  <c r="F69" i="49"/>
  <c r="E69" i="49"/>
  <c r="D69" i="49"/>
  <c r="C69" i="49"/>
  <c r="G68" i="49"/>
  <c r="F68" i="49"/>
  <c r="E68" i="49"/>
  <c r="D68" i="49"/>
  <c r="C68" i="49"/>
  <c r="G67" i="49"/>
  <c r="F67" i="49"/>
  <c r="E67" i="49"/>
  <c r="D67" i="49"/>
  <c r="C67" i="49"/>
  <c r="G66" i="49"/>
  <c r="F66" i="49"/>
  <c r="E66" i="49"/>
  <c r="D66" i="49"/>
  <c r="C66" i="49"/>
  <c r="G65" i="49"/>
  <c r="F65" i="49"/>
  <c r="E65" i="49"/>
  <c r="D65" i="49"/>
  <c r="C65" i="49"/>
  <c r="G64" i="49"/>
  <c r="F64" i="49"/>
  <c r="E64" i="49"/>
  <c r="D64" i="49"/>
  <c r="C64" i="49"/>
  <c r="G63" i="49"/>
  <c r="F63" i="49"/>
  <c r="E63" i="49"/>
  <c r="D63" i="49"/>
  <c r="C63" i="49"/>
  <c r="G62" i="49"/>
  <c r="F62" i="49"/>
  <c r="E62" i="49"/>
  <c r="D62" i="49"/>
  <c r="C62" i="49"/>
  <c r="G61" i="49"/>
  <c r="F61" i="49"/>
  <c r="E61" i="49"/>
  <c r="D61" i="49"/>
  <c r="C61" i="49"/>
  <c r="G60" i="49"/>
  <c r="F60" i="49"/>
  <c r="E60" i="49"/>
  <c r="D60" i="49"/>
  <c r="G59" i="49"/>
  <c r="F59" i="49"/>
  <c r="E59" i="49"/>
  <c r="D59" i="49"/>
  <c r="C59" i="49"/>
  <c r="G58" i="49"/>
  <c r="F58" i="49"/>
  <c r="E58" i="49"/>
  <c r="D58" i="49"/>
  <c r="C58" i="49"/>
  <c r="G57" i="49"/>
  <c r="F57" i="49"/>
  <c r="E57" i="49"/>
  <c r="D57" i="49"/>
  <c r="C57" i="49"/>
  <c r="A54" i="49"/>
  <c r="D51" i="49"/>
  <c r="H50" i="49"/>
  <c r="H49" i="49"/>
  <c r="H48" i="49"/>
  <c r="H47" i="49"/>
  <c r="H46" i="49"/>
  <c r="H45" i="49"/>
  <c r="H44" i="49"/>
  <c r="H43" i="49"/>
  <c r="H42" i="49"/>
  <c r="H41" i="49"/>
  <c r="C77" i="49"/>
  <c r="H40" i="49"/>
  <c r="H39" i="49"/>
  <c r="H38" i="49"/>
  <c r="D34" i="49"/>
  <c r="H33" i="49"/>
  <c r="H32" i="49"/>
  <c r="H31" i="49"/>
  <c r="H30" i="49"/>
  <c r="H29" i="49"/>
  <c r="H28" i="49"/>
  <c r="H27" i="49"/>
  <c r="H26" i="49"/>
  <c r="H25" i="49"/>
  <c r="H24" i="49"/>
  <c r="H23" i="49"/>
  <c r="H22" i="49"/>
  <c r="H21" i="49"/>
  <c r="D20" i="49"/>
  <c r="D37" i="49" s="1"/>
  <c r="D56" i="49" s="1"/>
  <c r="D73" i="49" s="1"/>
  <c r="C20" i="49"/>
  <c r="C37" i="49" s="1"/>
  <c r="C56" i="49" s="1"/>
  <c r="C73" i="49" s="1"/>
  <c r="D17" i="49"/>
  <c r="C17" i="49"/>
  <c r="H16" i="49"/>
  <c r="H15" i="49"/>
  <c r="H14" i="49"/>
  <c r="H13" i="49"/>
  <c r="H12" i="49"/>
  <c r="H11" i="49"/>
  <c r="H10" i="49"/>
  <c r="H9" i="49"/>
  <c r="H8" i="49"/>
  <c r="A8" i="49"/>
  <c r="A9" i="49" s="1"/>
  <c r="A10" i="49" s="1"/>
  <c r="A11" i="49" s="1"/>
  <c r="A12" i="49" s="1"/>
  <c r="A13" i="49" s="1"/>
  <c r="A14" i="49" s="1"/>
  <c r="A15" i="49" s="1"/>
  <c r="A16" i="49" s="1"/>
  <c r="A17" i="49" s="1"/>
  <c r="A21" i="49" s="1"/>
  <c r="A22" i="49" s="1"/>
  <c r="A23" i="49" s="1"/>
  <c r="A24" i="49" s="1"/>
  <c r="A25" i="49" s="1"/>
  <c r="A26" i="49" s="1"/>
  <c r="A27" i="49" s="1"/>
  <c r="A28" i="49" s="1"/>
  <c r="A29" i="49" s="1"/>
  <c r="A30" i="49" s="1"/>
  <c r="A31" i="49" s="1"/>
  <c r="A32" i="49" s="1"/>
  <c r="A33" i="49" s="1"/>
  <c r="A34" i="49" s="1"/>
  <c r="A38" i="49" s="1"/>
  <c r="A39" i="49" s="1"/>
  <c r="A40" i="49" s="1"/>
  <c r="A41" i="49" s="1"/>
  <c r="A42" i="49" s="1"/>
  <c r="A43" i="49" s="1"/>
  <c r="A44" i="49" s="1"/>
  <c r="A45" i="49" s="1"/>
  <c r="A46" i="49" s="1"/>
  <c r="A47" i="49" s="1"/>
  <c r="A48" i="49" s="1"/>
  <c r="A49" i="49" s="1"/>
  <c r="A50" i="49" s="1"/>
  <c r="A51" i="49" s="1"/>
  <c r="A57" i="49" s="1"/>
  <c r="A58" i="49" s="1"/>
  <c r="A59" i="49" s="1"/>
  <c r="A60" i="49" s="1"/>
  <c r="A61" i="49" s="1"/>
  <c r="A62" i="49" s="1"/>
  <c r="A63" i="49" s="1"/>
  <c r="A64" i="49" s="1"/>
  <c r="A65" i="49" s="1"/>
  <c r="A66" i="49" s="1"/>
  <c r="A67" i="49" s="1"/>
  <c r="A68" i="49" s="1"/>
  <c r="A69" i="49" s="1"/>
  <c r="A70" i="49" s="1"/>
  <c r="A74" i="49" s="1"/>
  <c r="A75" i="49" s="1"/>
  <c r="A76" i="49" s="1"/>
  <c r="A77" i="49" s="1"/>
  <c r="A78" i="49" s="1"/>
  <c r="A79" i="49" s="1"/>
  <c r="A80" i="49" s="1"/>
  <c r="A81" i="49" s="1"/>
  <c r="A82" i="49" s="1"/>
  <c r="A83" i="49" s="1"/>
  <c r="A84" i="49" s="1"/>
  <c r="A85" i="49" s="1"/>
  <c r="A86" i="49" s="1"/>
  <c r="H7" i="49"/>
  <c r="C105" i="33"/>
  <c r="G104" i="33"/>
  <c r="G103" i="33"/>
  <c r="G102" i="33"/>
  <c r="G101" i="33"/>
  <c r="G100" i="33"/>
  <c r="G99" i="33"/>
  <c r="G98" i="33"/>
  <c r="G97" i="33"/>
  <c r="G96" i="33"/>
  <c r="G95" i="33"/>
  <c r="G94" i="33"/>
  <c r="E93" i="33"/>
  <c r="G93" i="33" s="1"/>
  <c r="E92" i="33"/>
  <c r="G92" i="33" s="1"/>
  <c r="E91" i="33"/>
  <c r="G91" i="33" s="1"/>
  <c r="E90" i="33"/>
  <c r="G90" i="33" s="1"/>
  <c r="E89" i="33"/>
  <c r="G89" i="33" s="1"/>
  <c r="D88" i="33"/>
  <c r="D105" i="33" s="1"/>
  <c r="F87" i="33"/>
  <c r="G87" i="33" s="1"/>
  <c r="T79" i="33"/>
  <c r="O79" i="33"/>
  <c r="N79" i="33"/>
  <c r="M79" i="33"/>
  <c r="L79" i="33"/>
  <c r="K79" i="33"/>
  <c r="J79" i="33"/>
  <c r="I79" i="33"/>
  <c r="H79" i="33"/>
  <c r="G79" i="33"/>
  <c r="F79" i="33"/>
  <c r="E79" i="33"/>
  <c r="D79" i="33"/>
  <c r="C79" i="33"/>
  <c r="T78" i="33"/>
  <c r="O78" i="33"/>
  <c r="N78" i="33"/>
  <c r="M78" i="33"/>
  <c r="L78" i="33"/>
  <c r="K78" i="33"/>
  <c r="J78" i="33"/>
  <c r="I78" i="33"/>
  <c r="H78" i="33"/>
  <c r="G78" i="33"/>
  <c r="F78" i="33"/>
  <c r="E78" i="33"/>
  <c r="D78" i="33"/>
  <c r="C78" i="33"/>
  <c r="T77" i="33"/>
  <c r="O77" i="33"/>
  <c r="N77" i="33"/>
  <c r="M77" i="33"/>
  <c r="L77" i="33"/>
  <c r="K77" i="33"/>
  <c r="J77" i="33"/>
  <c r="I77" i="33"/>
  <c r="H77" i="33"/>
  <c r="G77" i="33"/>
  <c r="F77" i="33"/>
  <c r="E77" i="33"/>
  <c r="D77" i="33"/>
  <c r="C77" i="33"/>
  <c r="T76" i="33"/>
  <c r="O76" i="33"/>
  <c r="N76" i="33"/>
  <c r="M76" i="33"/>
  <c r="L76" i="33"/>
  <c r="K76" i="33"/>
  <c r="J76" i="33"/>
  <c r="I76" i="33"/>
  <c r="H76" i="33"/>
  <c r="G76" i="33"/>
  <c r="F76" i="33"/>
  <c r="E76" i="33"/>
  <c r="D76" i="33"/>
  <c r="C76" i="33"/>
  <c r="T75" i="33"/>
  <c r="O75" i="33"/>
  <c r="N75" i="33"/>
  <c r="M75" i="33"/>
  <c r="L75" i="33"/>
  <c r="K75" i="33"/>
  <c r="J75" i="33"/>
  <c r="I75" i="33"/>
  <c r="H75" i="33"/>
  <c r="G75" i="33"/>
  <c r="F75" i="33"/>
  <c r="E75" i="33"/>
  <c r="D75" i="33"/>
  <c r="C75" i="33"/>
  <c r="T74" i="33"/>
  <c r="O74" i="33"/>
  <c r="N74" i="33"/>
  <c r="M74" i="33"/>
  <c r="L74" i="33"/>
  <c r="K74" i="33"/>
  <c r="J74" i="33"/>
  <c r="I74" i="33"/>
  <c r="H74" i="33"/>
  <c r="G74" i="33"/>
  <c r="F74" i="33"/>
  <c r="E74" i="33"/>
  <c r="D74" i="33"/>
  <c r="C74" i="33"/>
  <c r="T73" i="33"/>
  <c r="O73" i="33"/>
  <c r="N73" i="33"/>
  <c r="M73" i="33"/>
  <c r="L73" i="33"/>
  <c r="K73" i="33"/>
  <c r="J73" i="33"/>
  <c r="I73" i="33"/>
  <c r="H73" i="33"/>
  <c r="G73" i="33"/>
  <c r="F73" i="33"/>
  <c r="E73" i="33"/>
  <c r="D73" i="33"/>
  <c r="C73" i="33"/>
  <c r="T72" i="33"/>
  <c r="O72" i="33"/>
  <c r="N72" i="33"/>
  <c r="M72" i="33"/>
  <c r="L72" i="33"/>
  <c r="K72" i="33"/>
  <c r="J72" i="33"/>
  <c r="I72" i="33"/>
  <c r="H72" i="33"/>
  <c r="G72" i="33"/>
  <c r="F72" i="33"/>
  <c r="E72" i="33"/>
  <c r="D72" i="33"/>
  <c r="C72" i="33"/>
  <c r="T71" i="33"/>
  <c r="O71" i="33"/>
  <c r="N71" i="33"/>
  <c r="M71" i="33"/>
  <c r="L71" i="33"/>
  <c r="K71" i="33"/>
  <c r="J71" i="33"/>
  <c r="I71" i="33"/>
  <c r="H71" i="33"/>
  <c r="G71" i="33"/>
  <c r="F71" i="33"/>
  <c r="E71" i="33"/>
  <c r="D71" i="33"/>
  <c r="C71" i="33"/>
  <c r="T70" i="33"/>
  <c r="O70" i="33"/>
  <c r="N70" i="33"/>
  <c r="M70" i="33"/>
  <c r="L70" i="33"/>
  <c r="K70" i="33"/>
  <c r="J70" i="33"/>
  <c r="I70" i="33"/>
  <c r="H70" i="33"/>
  <c r="G70" i="33"/>
  <c r="F70" i="33"/>
  <c r="E70" i="33"/>
  <c r="D70" i="33"/>
  <c r="C70" i="33"/>
  <c r="T69" i="33"/>
  <c r="O69" i="33"/>
  <c r="N69" i="33"/>
  <c r="M69" i="33"/>
  <c r="L69" i="33"/>
  <c r="K69" i="33"/>
  <c r="J69" i="33"/>
  <c r="I69" i="33"/>
  <c r="H69" i="33"/>
  <c r="G69" i="33"/>
  <c r="F69" i="33"/>
  <c r="E69" i="33"/>
  <c r="D69" i="33"/>
  <c r="C69" i="33"/>
  <c r="O68" i="33"/>
  <c r="N68" i="33"/>
  <c r="M68" i="33"/>
  <c r="L68" i="33"/>
  <c r="K68" i="33"/>
  <c r="J68" i="33"/>
  <c r="I68" i="33"/>
  <c r="H68" i="33"/>
  <c r="G68" i="33"/>
  <c r="F68" i="33"/>
  <c r="E68" i="33"/>
  <c r="D68" i="33"/>
  <c r="C68" i="33"/>
  <c r="O67" i="33"/>
  <c r="N67" i="33"/>
  <c r="M67" i="33"/>
  <c r="L67" i="33"/>
  <c r="K67" i="33"/>
  <c r="J67" i="33"/>
  <c r="I67" i="33"/>
  <c r="H67" i="33"/>
  <c r="G67" i="33"/>
  <c r="F67" i="33"/>
  <c r="E67" i="33"/>
  <c r="D67" i="33"/>
  <c r="C67" i="33"/>
  <c r="O66" i="33"/>
  <c r="N66" i="33"/>
  <c r="M66" i="33"/>
  <c r="L66" i="33"/>
  <c r="K66" i="33"/>
  <c r="J66" i="33"/>
  <c r="I66" i="33"/>
  <c r="H66" i="33"/>
  <c r="G66" i="33"/>
  <c r="F66" i="33"/>
  <c r="E66" i="33"/>
  <c r="D66" i="33"/>
  <c r="C66" i="33"/>
  <c r="O65" i="33"/>
  <c r="N65" i="33"/>
  <c r="M65" i="33"/>
  <c r="L65" i="33"/>
  <c r="K65" i="33"/>
  <c r="J65" i="33"/>
  <c r="I65" i="33"/>
  <c r="H65" i="33"/>
  <c r="G65" i="33"/>
  <c r="F65" i="33"/>
  <c r="E65" i="33"/>
  <c r="D65" i="33"/>
  <c r="C65" i="33"/>
  <c r="O64" i="33"/>
  <c r="N64" i="33"/>
  <c r="M64" i="33"/>
  <c r="L64" i="33"/>
  <c r="K64" i="33"/>
  <c r="J64" i="33"/>
  <c r="I64" i="33"/>
  <c r="H64" i="33"/>
  <c r="G64" i="33"/>
  <c r="F64" i="33"/>
  <c r="E64" i="33"/>
  <c r="D64" i="33"/>
  <c r="C64" i="33"/>
  <c r="O63" i="33"/>
  <c r="N63" i="33"/>
  <c r="M63" i="33"/>
  <c r="L63" i="33"/>
  <c r="K63" i="33"/>
  <c r="J63" i="33"/>
  <c r="I63" i="33"/>
  <c r="H63" i="33"/>
  <c r="G63" i="33"/>
  <c r="F63" i="33"/>
  <c r="E63" i="33"/>
  <c r="D63" i="33"/>
  <c r="C63" i="33"/>
  <c r="O62" i="33"/>
  <c r="N62" i="33"/>
  <c r="M62" i="33"/>
  <c r="L62" i="33"/>
  <c r="K62" i="33"/>
  <c r="J62" i="33"/>
  <c r="I62" i="33"/>
  <c r="H62" i="33"/>
  <c r="G62" i="33"/>
  <c r="F62" i="33"/>
  <c r="E62" i="33"/>
  <c r="D62" i="33"/>
  <c r="C62" i="33"/>
  <c r="B61" i="33"/>
  <c r="R53" i="33"/>
  <c r="R81" i="33" s="1"/>
  <c r="E106" i="33" s="1"/>
  <c r="Q53" i="33"/>
  <c r="Q81" i="33" s="1"/>
  <c r="D106" i="33" s="1"/>
  <c r="O52" i="33"/>
  <c r="N52" i="33"/>
  <c r="M52" i="33"/>
  <c r="L52" i="33"/>
  <c r="K52" i="33"/>
  <c r="J52" i="33"/>
  <c r="I52" i="33"/>
  <c r="H52" i="33"/>
  <c r="G52" i="33"/>
  <c r="F52" i="33"/>
  <c r="E52" i="33"/>
  <c r="D52" i="33"/>
  <c r="C52" i="33"/>
  <c r="T51" i="33"/>
  <c r="T50" i="33"/>
  <c r="T49" i="33"/>
  <c r="T48" i="33"/>
  <c r="T47" i="33"/>
  <c r="T46" i="33"/>
  <c r="T45" i="33"/>
  <c r="T44" i="33"/>
  <c r="T43" i="33"/>
  <c r="T42" i="33"/>
  <c r="T41" i="33"/>
  <c r="P40" i="33"/>
  <c r="R40" i="33" s="1"/>
  <c r="T40" i="33" s="1"/>
  <c r="B68" i="33"/>
  <c r="B93" i="33" s="1"/>
  <c r="P39" i="33"/>
  <c r="R39" i="33" s="1"/>
  <c r="T39" i="33" s="1"/>
  <c r="B67" i="33"/>
  <c r="B92" i="33" s="1"/>
  <c r="P38" i="33"/>
  <c r="R38" i="33" s="1"/>
  <c r="T38" i="33" s="1"/>
  <c r="B66" i="33"/>
  <c r="B91" i="33" s="1"/>
  <c r="P37" i="33"/>
  <c r="R37" i="33" s="1"/>
  <c r="T37" i="33" s="1"/>
  <c r="B65" i="33"/>
  <c r="B90" i="33" s="1"/>
  <c r="P36" i="33"/>
  <c r="R36" i="33" s="1"/>
  <c r="B64" i="33"/>
  <c r="B89" i="33" s="1"/>
  <c r="P35" i="33"/>
  <c r="Q35" i="33" s="1"/>
  <c r="T35" i="33" s="1"/>
  <c r="B63" i="33"/>
  <c r="B88" i="33" s="1"/>
  <c r="P34" i="33"/>
  <c r="S34" i="33" s="1"/>
  <c r="B62" i="33"/>
  <c r="B87" i="33" s="1"/>
  <c r="O27" i="33"/>
  <c r="N27" i="33"/>
  <c r="M27" i="33"/>
  <c r="L27" i="33"/>
  <c r="K27" i="33"/>
  <c r="J27" i="33"/>
  <c r="I27" i="33"/>
  <c r="H27" i="33"/>
  <c r="G27" i="33"/>
  <c r="F27" i="33"/>
  <c r="E27" i="33"/>
  <c r="D27" i="33"/>
  <c r="C27" i="33"/>
  <c r="T26" i="33"/>
  <c r="T25" i="33"/>
  <c r="T24" i="33"/>
  <c r="T23" i="33"/>
  <c r="T22" i="33"/>
  <c r="T21" i="33"/>
  <c r="T20" i="33"/>
  <c r="T19" i="33"/>
  <c r="T18" i="33"/>
  <c r="T17" i="33"/>
  <c r="T16" i="33"/>
  <c r="P15" i="33"/>
  <c r="R15" i="33" s="1"/>
  <c r="T15" i="33" s="1"/>
  <c r="P14" i="33"/>
  <c r="R14" i="33" s="1"/>
  <c r="T14" i="33" s="1"/>
  <c r="P13" i="33"/>
  <c r="R13" i="33" s="1"/>
  <c r="T13" i="33" s="1"/>
  <c r="P12" i="33"/>
  <c r="R12" i="33" s="1"/>
  <c r="T12" i="33" s="1"/>
  <c r="P11" i="33"/>
  <c r="R11" i="33" s="1"/>
  <c r="T11" i="33" s="1"/>
  <c r="P10" i="33"/>
  <c r="Q10" i="33" s="1"/>
  <c r="Q27" i="33" s="1"/>
  <c r="A10" i="33"/>
  <c r="A11" i="33" s="1"/>
  <c r="A12" i="33" s="1"/>
  <c r="A13" i="33" s="1"/>
  <c r="A14" i="33" s="1"/>
  <c r="A15" i="33" s="1"/>
  <c r="A16" i="33" s="1"/>
  <c r="A17" i="33" s="1"/>
  <c r="A18" i="33" s="1"/>
  <c r="A19" i="33" s="1"/>
  <c r="A20" i="33" s="1"/>
  <c r="A21" i="33" s="1"/>
  <c r="A22" i="33" s="1"/>
  <c r="A23" i="33" s="1"/>
  <c r="A24" i="33" s="1"/>
  <c r="A25" i="33" s="1"/>
  <c r="A26" i="33" s="1"/>
  <c r="A27" i="33" s="1"/>
  <c r="A28" i="33" s="1"/>
  <c r="A29"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P9" i="33"/>
  <c r="S9" i="33" s="1"/>
  <c r="S27" i="33" s="1"/>
  <c r="C154" i="29"/>
  <c r="G97" i="29"/>
  <c r="G100" i="29" s="1"/>
  <c r="K77" i="27" s="1"/>
  <c r="F100" i="29"/>
  <c r="E100" i="29"/>
  <c r="G77" i="27" s="1"/>
  <c r="D100" i="29"/>
  <c r="G151" i="28"/>
  <c r="F151" i="28"/>
  <c r="E151" i="28"/>
  <c r="D151" i="28"/>
  <c r="C151" i="28"/>
  <c r="G96" i="28"/>
  <c r="G99" i="28" s="1"/>
  <c r="F96" i="28"/>
  <c r="F99" i="28" s="1"/>
  <c r="E96" i="28"/>
  <c r="E99" i="28" s="1"/>
  <c r="D96" i="28"/>
  <c r="D99" i="28" s="1"/>
  <c r="C96" i="28"/>
  <c r="G61" i="28"/>
  <c r="G64" i="28" s="1"/>
  <c r="F61" i="28"/>
  <c r="F64" i="28" s="1"/>
  <c r="E61" i="28"/>
  <c r="E64" i="28" s="1"/>
  <c r="G94" i="27" s="1"/>
  <c r="H94" i="27" s="1"/>
  <c r="D61" i="28"/>
  <c r="D64" i="28" s="1"/>
  <c r="C61" i="28"/>
  <c r="C64" i="28" s="1"/>
  <c r="C83" i="27"/>
  <c r="C77" i="27"/>
  <c r="F57" i="27"/>
  <c r="C56" i="27"/>
  <c r="H55" i="27"/>
  <c r="H54" i="27"/>
  <c r="H53" i="27"/>
  <c r="H52" i="27"/>
  <c r="H51" i="27"/>
  <c r="H50" i="27"/>
  <c r="H49" i="27"/>
  <c r="H48" i="27"/>
  <c r="H47" i="27"/>
  <c r="H46" i="27"/>
  <c r="H45" i="27"/>
  <c r="D44" i="27"/>
  <c r="D45" i="27" s="1"/>
  <c r="D46" i="27" s="1"/>
  <c r="D47" i="27" s="1"/>
  <c r="D48" i="27" s="1"/>
  <c r="D49" i="27" s="1"/>
  <c r="D50" i="27" s="1"/>
  <c r="D51" i="27" s="1"/>
  <c r="D52" i="27" s="1"/>
  <c r="D53" i="27" s="1"/>
  <c r="D54" i="27" s="1"/>
  <c r="D55" i="27" s="1"/>
  <c r="D56" i="27" s="1"/>
  <c r="D57" i="27" s="1"/>
  <c r="C39" i="27"/>
  <c r="F34" i="27"/>
  <c r="C33" i="27"/>
  <c r="D32" i="27"/>
  <c r="D38" i="27" s="1"/>
  <c r="M29" i="27"/>
  <c r="H27" i="27"/>
  <c r="C27" i="27"/>
  <c r="H26" i="27"/>
  <c r="H25" i="27"/>
  <c r="H24" i="27"/>
  <c r="H23" i="27"/>
  <c r="H22" i="27"/>
  <c r="H21" i="27"/>
  <c r="H20" i="27"/>
  <c r="H19" i="27"/>
  <c r="H18" i="27"/>
  <c r="I17" i="27"/>
  <c r="H17" i="27"/>
  <c r="F17" i="27"/>
  <c r="F18" i="27" s="1"/>
  <c r="F19" i="27" s="1"/>
  <c r="F20" i="27" s="1"/>
  <c r="F21" i="27" s="1"/>
  <c r="F22" i="27" s="1"/>
  <c r="F23" i="27" s="1"/>
  <c r="F24" i="27" s="1"/>
  <c r="F25" i="27" s="1"/>
  <c r="F26" i="27" s="1"/>
  <c r="F27" i="27" s="1"/>
  <c r="A17" i="27"/>
  <c r="A18" i="27" s="1"/>
  <c r="A19" i="27" s="1"/>
  <c r="A20" i="27" s="1"/>
  <c r="A21" i="27" s="1"/>
  <c r="A22" i="27" s="1"/>
  <c r="A23" i="27" s="1"/>
  <c r="A24" i="27" s="1"/>
  <c r="A25" i="27" s="1"/>
  <c r="A26" i="27" s="1"/>
  <c r="A27" i="27" s="1"/>
  <c r="A28" i="27" s="1"/>
  <c r="A29" i="27" s="1"/>
  <c r="A30" i="27" s="1"/>
  <c r="A32" i="27" s="1"/>
  <c r="A33" i="27" s="1"/>
  <c r="A34" i="27" s="1"/>
  <c r="A38" i="27" s="1"/>
  <c r="A39" i="27" s="1"/>
  <c r="A40" i="27" s="1"/>
  <c r="A44" i="27" s="1"/>
  <c r="A45" i="27" s="1"/>
  <c r="A46" i="27" s="1"/>
  <c r="A47" i="27" s="1"/>
  <c r="A48" i="27" s="1"/>
  <c r="A49" i="27" s="1"/>
  <c r="A50" i="27" s="1"/>
  <c r="A51" i="27" s="1"/>
  <c r="A52" i="27" s="1"/>
  <c r="A53" i="27" s="1"/>
  <c r="A54" i="27" s="1"/>
  <c r="A55" i="27" s="1"/>
  <c r="A56" i="27" s="1"/>
  <c r="A57" i="27" s="1"/>
  <c r="A60" i="27" s="1"/>
  <c r="A76" i="27" s="1"/>
  <c r="A77" i="27" s="1"/>
  <c r="A78" i="27" s="1"/>
  <c r="A82" i="27" s="1"/>
  <c r="A83" i="27" s="1"/>
  <c r="A84" i="27" s="1"/>
  <c r="A88" i="27" s="1"/>
  <c r="A89" i="27" s="1"/>
  <c r="A90" i="27" s="1"/>
  <c r="A94" i="27" s="1"/>
  <c r="A95" i="27" s="1"/>
  <c r="A96" i="27" s="1"/>
  <c r="H16" i="27"/>
  <c r="D16" i="27"/>
  <c r="D17" i="27" s="1"/>
  <c r="D18" i="27" s="1"/>
  <c r="D19" i="27" s="1"/>
  <c r="D20" i="27" s="1"/>
  <c r="D21" i="27" s="1"/>
  <c r="D22" i="27" s="1"/>
  <c r="D23" i="27" s="1"/>
  <c r="D24" i="27" s="1"/>
  <c r="D25" i="27" s="1"/>
  <c r="D26" i="27" s="1"/>
  <c r="D27" i="27" s="1"/>
  <c r="D28" i="27" s="1"/>
  <c r="G3" i="27"/>
  <c r="G65" i="27" s="1"/>
  <c r="I64" i="5"/>
  <c r="F49" i="5"/>
  <c r="J44" i="5"/>
  <c r="D83" i="1" s="1"/>
  <c r="I83" i="1" s="1"/>
  <c r="I44" i="5"/>
  <c r="E44" i="5"/>
  <c r="D44" i="5"/>
  <c r="D85" i="1" s="1"/>
  <c r="I85" i="1" s="1"/>
  <c r="C44" i="5"/>
  <c r="I24" i="5"/>
  <c r="D95" i="1" s="1"/>
  <c r="I95" i="1" s="1"/>
  <c r="H24" i="5"/>
  <c r="D94" i="1" s="1"/>
  <c r="G24" i="5"/>
  <c r="D90" i="1" s="1"/>
  <c r="F12" i="5"/>
  <c r="F13" i="5" s="1"/>
  <c r="G3" i="5"/>
  <c r="E68" i="21"/>
  <c r="B66" i="21"/>
  <c r="G48" i="21"/>
  <c r="D48" i="21"/>
  <c r="E42" i="21" s="1"/>
  <c r="F43" i="21"/>
  <c r="H43" i="21" s="1"/>
  <c r="F42" i="21"/>
  <c r="H42" i="21" s="1"/>
  <c r="F41" i="21"/>
  <c r="H41" i="21" s="1"/>
  <c r="E41" i="21"/>
  <c r="F40" i="21"/>
  <c r="H40" i="21" s="1"/>
  <c r="F39" i="21"/>
  <c r="H39" i="21" s="1"/>
  <c r="E39" i="21"/>
  <c r="F38" i="21"/>
  <c r="H38" i="21" s="1"/>
  <c r="D61" i="7" s="1"/>
  <c r="F37" i="21"/>
  <c r="H37" i="21" s="1"/>
  <c r="D60" i="7" s="1"/>
  <c r="E37" i="21"/>
  <c r="F36" i="21"/>
  <c r="H36" i="21" s="1"/>
  <c r="D59" i="7" s="1"/>
  <c r="F35" i="21"/>
  <c r="H35" i="21" s="1"/>
  <c r="E35" i="21"/>
  <c r="F34" i="21"/>
  <c r="H34" i="21" s="1"/>
  <c r="F33" i="21"/>
  <c r="H33" i="21" s="1"/>
  <c r="E33" i="21"/>
  <c r="F32" i="21"/>
  <c r="H32" i="21" s="1"/>
  <c r="F31" i="21"/>
  <c r="H31" i="21" s="1"/>
  <c r="E31" i="21"/>
  <c r="F30" i="21"/>
  <c r="H30" i="21" s="1"/>
  <c r="D53" i="7" s="1"/>
  <c r="H29" i="21"/>
  <c r="D52" i="7" s="1"/>
  <c r="F29" i="21"/>
  <c r="E29" i="21"/>
  <c r="F28" i="21"/>
  <c r="H28" i="21" s="1"/>
  <c r="D51" i="7" s="1"/>
  <c r="E28" i="21"/>
  <c r="F27" i="21"/>
  <c r="H27" i="21" s="1"/>
  <c r="E27" i="21"/>
  <c r="F26" i="21"/>
  <c r="H26" i="21" s="1"/>
  <c r="E26" i="21"/>
  <c r="F25" i="21"/>
  <c r="H25" i="21" s="1"/>
  <c r="E25" i="21"/>
  <c r="F24" i="21"/>
  <c r="H24" i="21" s="1"/>
  <c r="E24" i="21"/>
  <c r="F23" i="21"/>
  <c r="H23" i="21" s="1"/>
  <c r="E23" i="21"/>
  <c r="F22" i="21"/>
  <c r="H22" i="21" s="1"/>
  <c r="D45" i="7" s="1"/>
  <c r="E22" i="21"/>
  <c r="F21" i="21"/>
  <c r="H21" i="21" s="1"/>
  <c r="D44" i="7" s="1"/>
  <c r="E21" i="21"/>
  <c r="F20" i="21"/>
  <c r="H20" i="21" s="1"/>
  <c r="D43" i="7" s="1"/>
  <c r="E20" i="21"/>
  <c r="F19" i="21"/>
  <c r="H19" i="21" s="1"/>
  <c r="E19" i="21"/>
  <c r="F18" i="21"/>
  <c r="E18" i="21"/>
  <c r="E19" i="16"/>
  <c r="E23" i="16" s="1"/>
  <c r="A9" i="16"/>
  <c r="A12" i="16" s="1"/>
  <c r="A13" i="16" s="1"/>
  <c r="A14" i="16" s="1"/>
  <c r="A15" i="16" s="1"/>
  <c r="A16" i="16" s="1"/>
  <c r="A18" i="16" s="1"/>
  <c r="A19" i="16" s="1"/>
  <c r="F5" i="16"/>
  <c r="E7" i="21" s="1"/>
  <c r="P95" i="2"/>
  <c r="G56" i="2"/>
  <c r="G55" i="2"/>
  <c r="I34" i="2"/>
  <c r="L34" i="2" s="1"/>
  <c r="G7" i="2"/>
  <c r="G57" i="2" s="1"/>
  <c r="K210" i="1"/>
  <c r="H14" i="16"/>
  <c r="G198" i="1"/>
  <c r="H13" i="16" s="1"/>
  <c r="D198" i="1"/>
  <c r="E13" i="16" s="1"/>
  <c r="D197" i="1"/>
  <c r="E12" i="16" s="1"/>
  <c r="G196" i="1"/>
  <c r="D191" i="1"/>
  <c r="G189" i="1"/>
  <c r="G187" i="1"/>
  <c r="A179" i="1"/>
  <c r="A180" i="1" s="1"/>
  <c r="A181" i="1" s="1"/>
  <c r="A183" i="1" s="1"/>
  <c r="A185" i="1" s="1"/>
  <c r="A187" i="1" s="1"/>
  <c r="A188" i="1" s="1"/>
  <c r="A189" i="1" s="1"/>
  <c r="A190" i="1" s="1"/>
  <c r="A191" i="1" s="1"/>
  <c r="K169" i="1"/>
  <c r="D153" i="1"/>
  <c r="E25" i="16" s="1"/>
  <c r="D147" i="1"/>
  <c r="C146" i="1"/>
  <c r="I144" i="1"/>
  <c r="D141" i="1"/>
  <c r="D140" i="1"/>
  <c r="D139" i="1"/>
  <c r="D136" i="1"/>
  <c r="B136" i="1"/>
  <c r="D135" i="1"/>
  <c r="D130" i="1"/>
  <c r="I130" i="1" s="1"/>
  <c r="D128" i="1"/>
  <c r="D126" i="1"/>
  <c r="D125" i="1"/>
  <c r="D118" i="1"/>
  <c r="D151" i="1" s="1"/>
  <c r="D117" i="1"/>
  <c r="I117" i="1" s="1"/>
  <c r="D115" i="1"/>
  <c r="D113" i="1"/>
  <c r="F112" i="1"/>
  <c r="F113" i="1" s="1"/>
  <c r="F114" i="1" s="1"/>
  <c r="D112" i="1"/>
  <c r="A112" i="1"/>
  <c r="A113" i="1" s="1"/>
  <c r="A114" i="1" s="1"/>
  <c r="A115" i="1" s="1"/>
  <c r="A116" i="1" s="1"/>
  <c r="A117" i="1" s="1"/>
  <c r="A118" i="1" s="1"/>
  <c r="A119" i="1" s="1"/>
  <c r="A120" i="1" s="1"/>
  <c r="A121" i="1" s="1"/>
  <c r="A122" i="1" s="1"/>
  <c r="D111" i="1"/>
  <c r="K103" i="1"/>
  <c r="I87" i="1"/>
  <c r="I86" i="1"/>
  <c r="F86" i="1"/>
  <c r="F84" i="1"/>
  <c r="F82" i="1" s="1"/>
  <c r="D84" i="1"/>
  <c r="I84" i="1" s="1"/>
  <c r="F83" i="1"/>
  <c r="F144" i="1" s="1"/>
  <c r="G81" i="1"/>
  <c r="D80" i="1"/>
  <c r="D68" i="1"/>
  <c r="I66" i="1"/>
  <c r="D66" i="1"/>
  <c r="G58" i="1"/>
  <c r="I58" i="1" s="1"/>
  <c r="F52" i="1"/>
  <c r="F61" i="1" s="1"/>
  <c r="F62" i="1" s="1"/>
  <c r="I48" i="1"/>
  <c r="A47" i="1"/>
  <c r="A48" i="1" s="1"/>
  <c r="D39" i="1"/>
  <c r="D105" i="1" s="1"/>
  <c r="D171" i="1" s="1"/>
  <c r="K37" i="1"/>
  <c r="I26" i="1"/>
  <c r="A14" i="1"/>
  <c r="A16" i="1" s="1"/>
  <c r="A18" i="1" s="1"/>
  <c r="A19" i="1" s="1"/>
  <c r="A20" i="1" s="1"/>
  <c r="A22" i="1" s="1"/>
  <c r="A23" i="1" s="1"/>
  <c r="A24" i="1" s="1"/>
  <c r="H81" i="49" l="1"/>
  <c r="H83" i="49"/>
  <c r="H85" i="49"/>
  <c r="G88" i="33"/>
  <c r="J37" i="6"/>
  <c r="F12" i="17"/>
  <c r="D120" i="1" s="1"/>
  <c r="F42" i="7"/>
  <c r="F43" i="7" s="1"/>
  <c r="F44" i="7" s="1"/>
  <c r="F45" i="7" s="1"/>
  <c r="F46" i="7" s="1"/>
  <c r="F47" i="7" s="1"/>
  <c r="F48" i="7" s="1"/>
  <c r="F49" i="7" s="1"/>
  <c r="F50" i="7" s="1"/>
  <c r="F51" i="7" s="1"/>
  <c r="F52" i="7" s="1"/>
  <c r="F53" i="7" s="1"/>
  <c r="F54" i="7" s="1"/>
  <c r="F55" i="7" s="1"/>
  <c r="F56" i="7" s="1"/>
  <c r="F57" i="7" s="1"/>
  <c r="G41" i="7"/>
  <c r="E154" i="29"/>
  <c r="G83" i="27" s="1"/>
  <c r="H83" i="27" s="1"/>
  <c r="F154" i="29"/>
  <c r="I83" i="27" s="1"/>
  <c r="C10" i="29"/>
  <c r="G154" i="29"/>
  <c r="K83" i="27" s="1"/>
  <c r="C11" i="29"/>
  <c r="D65" i="29"/>
  <c r="F65" i="29"/>
  <c r="I95" i="27" s="1"/>
  <c r="E65" i="29"/>
  <c r="G95" i="27" s="1"/>
  <c r="F9" i="29"/>
  <c r="I77" i="27"/>
  <c r="F77" i="27"/>
  <c r="F95" i="27"/>
  <c r="G65" i="29"/>
  <c r="C10" i="28"/>
  <c r="F82" i="27"/>
  <c r="G10" i="28"/>
  <c r="K82" i="27"/>
  <c r="E10" i="28"/>
  <c r="G82" i="27"/>
  <c r="F10" i="28"/>
  <c r="I82" i="27"/>
  <c r="E9" i="28"/>
  <c r="G76" i="27"/>
  <c r="F9" i="28"/>
  <c r="I76" i="27"/>
  <c r="C99" i="28"/>
  <c r="F76" i="27" s="1"/>
  <c r="G9" i="28"/>
  <c r="K76" i="27"/>
  <c r="K78" i="27" s="1"/>
  <c r="F11" i="28"/>
  <c r="I94" i="27"/>
  <c r="C11" i="28"/>
  <c r="F94" i="27"/>
  <c r="G11" i="28"/>
  <c r="K94" i="27"/>
  <c r="E11" i="28"/>
  <c r="P27" i="33"/>
  <c r="J50" i="21"/>
  <c r="D88" i="30"/>
  <c r="E88" i="30"/>
  <c r="E30" i="21"/>
  <c r="E32" i="21"/>
  <c r="E34" i="21"/>
  <c r="E36" i="21"/>
  <c r="E38" i="21"/>
  <c r="E40" i="21"/>
  <c r="F54" i="30"/>
  <c r="I27" i="32"/>
  <c r="H57" i="49"/>
  <c r="A194" i="1"/>
  <c r="A195" i="1" s="1"/>
  <c r="A196" i="1" s="1"/>
  <c r="A197" i="1" s="1"/>
  <c r="A198" i="1" s="1"/>
  <c r="A199" i="1" s="1"/>
  <c r="A200" i="1" s="1"/>
  <c r="D77" i="30"/>
  <c r="H77" i="49"/>
  <c r="H64" i="49"/>
  <c r="H66" i="49"/>
  <c r="H80" i="33"/>
  <c r="P63" i="33"/>
  <c r="Q63" i="33" s="1"/>
  <c r="Q80" i="33" s="1"/>
  <c r="Q82" i="33" s="1"/>
  <c r="H17" i="49"/>
  <c r="D121" i="1" s="1"/>
  <c r="D157" i="1"/>
  <c r="I157" i="1" s="1"/>
  <c r="H75" i="49"/>
  <c r="H84" i="49"/>
  <c r="H82" i="49"/>
  <c r="H79" i="49"/>
  <c r="H58" i="49"/>
  <c r="H65" i="49"/>
  <c r="R52" i="33"/>
  <c r="R54" i="33" s="1"/>
  <c r="T36" i="33"/>
  <c r="G80" i="33"/>
  <c r="O80" i="33"/>
  <c r="P66" i="33"/>
  <c r="R66" i="33" s="1"/>
  <c r="T66" i="33" s="1"/>
  <c r="C76" i="49"/>
  <c r="H76" i="49" s="1"/>
  <c r="H80" i="49"/>
  <c r="I80" i="33"/>
  <c r="J80" i="33"/>
  <c r="P64" i="33"/>
  <c r="R64" i="33" s="1"/>
  <c r="P65" i="33"/>
  <c r="R65" i="33" s="1"/>
  <c r="T65" i="33" s="1"/>
  <c r="E70" i="49"/>
  <c r="H62" i="49"/>
  <c r="H74" i="49"/>
  <c r="H78" i="49"/>
  <c r="D119" i="1"/>
  <c r="P52" i="33"/>
  <c r="P62" i="33"/>
  <c r="S62" i="33" s="1"/>
  <c r="K80" i="33"/>
  <c r="H51" i="49"/>
  <c r="D62" i="1" s="1"/>
  <c r="F70" i="49"/>
  <c r="H59" i="49"/>
  <c r="H67" i="49"/>
  <c r="H68" i="49"/>
  <c r="D86" i="49"/>
  <c r="G24" i="32"/>
  <c r="I68" i="1"/>
  <c r="D142" i="1"/>
  <c r="D80" i="33"/>
  <c r="L80" i="33"/>
  <c r="P67" i="33"/>
  <c r="R67" i="33" s="1"/>
  <c r="T67" i="33" s="1"/>
  <c r="G70" i="49"/>
  <c r="H61" i="49"/>
  <c r="E43" i="21"/>
  <c r="E80" i="33"/>
  <c r="M80" i="33"/>
  <c r="C51" i="49"/>
  <c r="H69" i="49"/>
  <c r="G190" i="1"/>
  <c r="F80" i="33"/>
  <c r="N80" i="33"/>
  <c r="P68" i="33"/>
  <c r="R68" i="33" s="1"/>
  <c r="T68" i="33" s="1"/>
  <c r="H63" i="49"/>
  <c r="D48" i="7"/>
  <c r="D49" i="7"/>
  <c r="D56" i="7"/>
  <c r="D47" i="7"/>
  <c r="D62" i="7"/>
  <c r="B1" i="32"/>
  <c r="B52" i="49"/>
  <c r="A1" i="49"/>
  <c r="B1" i="33"/>
  <c r="C55" i="33" s="1"/>
  <c r="D212" i="1"/>
  <c r="B23" i="16"/>
  <c r="A20" i="16"/>
  <c r="D46" i="7"/>
  <c r="D50" i="7"/>
  <c r="D63" i="7"/>
  <c r="A49" i="1"/>
  <c r="E29" i="16"/>
  <c r="D57" i="7"/>
  <c r="D64" i="7"/>
  <c r="D41" i="7"/>
  <c r="H48" i="21"/>
  <c r="D54" i="7"/>
  <c r="D58" i="7"/>
  <c r="D65" i="7"/>
  <c r="A124" i="1"/>
  <c r="A125" i="1" s="1"/>
  <c r="D42" i="7"/>
  <c r="D55" i="7"/>
  <c r="D66" i="7"/>
  <c r="F24" i="5"/>
  <c r="D82" i="1" s="1"/>
  <c r="I82" i="1" s="1"/>
  <c r="F28" i="27"/>
  <c r="D33" i="27"/>
  <c r="D39" i="27" s="1"/>
  <c r="T34" i="33"/>
  <c r="S52" i="33"/>
  <c r="D33" i="30"/>
  <c r="D34" i="30" s="1"/>
  <c r="D35" i="30" s="1"/>
  <c r="F48" i="21"/>
  <c r="B111" i="28"/>
  <c r="B75" i="29"/>
  <c r="B74" i="28"/>
  <c r="B111" i="29"/>
  <c r="B2" i="29"/>
  <c r="B2" i="28"/>
  <c r="T63" i="33"/>
  <c r="G77" i="1"/>
  <c r="G78" i="1" s="1"/>
  <c r="H34" i="49"/>
  <c r="D52" i="1" s="1"/>
  <c r="I18" i="27"/>
  <c r="Q29" i="33"/>
  <c r="D70" i="49"/>
  <c r="T10" i="33"/>
  <c r="C80" i="33"/>
  <c r="E105" i="33"/>
  <c r="E107" i="33" s="1"/>
  <c r="D107" i="33"/>
  <c r="C60" i="49"/>
  <c r="H60" i="49" s="1"/>
  <c r="J10" i="32"/>
  <c r="J18" i="32"/>
  <c r="F105" i="33"/>
  <c r="C34" i="49"/>
  <c r="D12" i="30"/>
  <c r="R27" i="33"/>
  <c r="R29" i="33" s="1"/>
  <c r="H24" i="32"/>
  <c r="T9" i="33"/>
  <c r="E66" i="30"/>
  <c r="Q52" i="33"/>
  <c r="E30" i="16"/>
  <c r="E9" i="29"/>
  <c r="G15" i="27"/>
  <c r="K15" i="27"/>
  <c r="G9" i="29"/>
  <c r="I15" i="27"/>
  <c r="D158" i="1"/>
  <c r="J18" i="21" l="1"/>
  <c r="K18" i="21" s="1"/>
  <c r="F58" i="7"/>
  <c r="F59" i="7" s="1"/>
  <c r="F60" i="7" s="1"/>
  <c r="F61" i="7" s="1"/>
  <c r="F62" i="7" s="1"/>
  <c r="F63" i="7" s="1"/>
  <c r="F64" i="7" s="1"/>
  <c r="F65" i="7" s="1"/>
  <c r="F66" i="7" s="1"/>
  <c r="F67" i="7" s="1"/>
  <c r="F68" i="7" s="1"/>
  <c r="F69" i="7" s="1"/>
  <c r="G69" i="7" s="1"/>
  <c r="G45" i="7"/>
  <c r="J22" i="21" s="1"/>
  <c r="K22" i="21" s="1"/>
  <c r="R70" i="2" s="1"/>
  <c r="G42" i="7"/>
  <c r="J19" i="21" s="1"/>
  <c r="K19" i="21" s="1"/>
  <c r="R67" i="2" s="1"/>
  <c r="K84" i="27"/>
  <c r="F44" i="6"/>
  <c r="F45" i="6" s="1"/>
  <c r="F96" i="27"/>
  <c r="I96" i="27"/>
  <c r="F78" i="27"/>
  <c r="G78" i="27"/>
  <c r="H78" i="27" s="1"/>
  <c r="I84" i="27"/>
  <c r="E12" i="28"/>
  <c r="G46" i="7"/>
  <c r="J23" i="21" s="1"/>
  <c r="K23" i="21" s="1"/>
  <c r="R71" i="2" s="1"/>
  <c r="G47" i="7"/>
  <c r="J24" i="21" s="1"/>
  <c r="K24" i="21" s="1"/>
  <c r="R72" i="2" s="1"/>
  <c r="G43" i="7"/>
  <c r="J20" i="21" s="1"/>
  <c r="K20" i="21" s="1"/>
  <c r="R68" i="2" s="1"/>
  <c r="G44" i="7"/>
  <c r="J21" i="21" s="1"/>
  <c r="K21" i="21" s="1"/>
  <c r="R69" i="2" s="1"/>
  <c r="I32" i="27"/>
  <c r="I33" i="27" s="1"/>
  <c r="I34" i="27" s="1"/>
  <c r="F10" i="29"/>
  <c r="I44" i="27"/>
  <c r="I56" i="27" s="1"/>
  <c r="G32" i="27"/>
  <c r="G33" i="27" s="1"/>
  <c r="H33" i="27" s="1"/>
  <c r="H95" i="27"/>
  <c r="H96" i="27" s="1"/>
  <c r="G96" i="27"/>
  <c r="E10" i="29"/>
  <c r="K32" i="27"/>
  <c r="K33" i="27" s="1"/>
  <c r="F83" i="27"/>
  <c r="F84" i="27" s="1"/>
  <c r="G10" i="29"/>
  <c r="F11" i="29"/>
  <c r="E11" i="29"/>
  <c r="G44" i="27"/>
  <c r="H44" i="27" s="1"/>
  <c r="I78" i="27"/>
  <c r="C9" i="29"/>
  <c r="C12" i="29" s="1"/>
  <c r="K95" i="27"/>
  <c r="K96" i="27" s="1"/>
  <c r="K44" i="27"/>
  <c r="G11" i="29"/>
  <c r="F12" i="28"/>
  <c r="G12" i="28"/>
  <c r="G84" i="27"/>
  <c r="H82" i="27"/>
  <c r="H84" i="27" s="1"/>
  <c r="C9" i="28"/>
  <c r="C12" i="28" s="1"/>
  <c r="D122" i="1"/>
  <c r="D93" i="1" s="1"/>
  <c r="D96" i="1" s="1"/>
  <c r="R80" i="33"/>
  <c r="R82" i="33" s="1"/>
  <c r="P80" i="33"/>
  <c r="T64" i="33"/>
  <c r="E48" i="21"/>
  <c r="C86" i="49"/>
  <c r="H86" i="49" s="1"/>
  <c r="D129" i="1" s="1"/>
  <c r="G52" i="7"/>
  <c r="J29" i="21" s="1"/>
  <c r="K29" i="21" s="1"/>
  <c r="R77" i="2" s="1"/>
  <c r="C70" i="49"/>
  <c r="G53" i="7"/>
  <c r="J30" i="21" s="1"/>
  <c r="K30" i="21" s="1"/>
  <c r="R78" i="2" s="1"/>
  <c r="H70" i="49"/>
  <c r="G51" i="7"/>
  <c r="J28" i="21" s="1"/>
  <c r="K28" i="21" s="1"/>
  <c r="R76" i="2" s="1"/>
  <c r="G54" i="7"/>
  <c r="J31" i="21" s="1"/>
  <c r="K31" i="21" s="1"/>
  <c r="R79" i="2" s="1"/>
  <c r="G57" i="7"/>
  <c r="J34" i="21" s="1"/>
  <c r="K34" i="21" s="1"/>
  <c r="R82" i="2" s="1"/>
  <c r="G105" i="33"/>
  <c r="D127" i="1" s="1"/>
  <c r="R66" i="2"/>
  <c r="G49" i="7"/>
  <c r="J26" i="21" s="1"/>
  <c r="K26" i="21" s="1"/>
  <c r="R74" i="2" s="1"/>
  <c r="T27" i="33"/>
  <c r="D50" i="1" s="1"/>
  <c r="G79" i="1"/>
  <c r="G80" i="1"/>
  <c r="I80" i="1" s="1"/>
  <c r="I19" i="27"/>
  <c r="G50" i="7"/>
  <c r="J27" i="21" s="1"/>
  <c r="K27" i="21" s="1"/>
  <c r="R75" i="2" s="1"/>
  <c r="G55" i="7"/>
  <c r="J32" i="21" s="1"/>
  <c r="K32" i="21" s="1"/>
  <c r="R80" i="2" s="1"/>
  <c r="A126" i="1"/>
  <c r="A127" i="1" s="1"/>
  <c r="A128" i="1" s="1"/>
  <c r="A129" i="1" s="1"/>
  <c r="A130" i="1" s="1"/>
  <c r="A131" i="1" s="1"/>
  <c r="G59" i="7"/>
  <c r="J36" i="21" s="1"/>
  <c r="K36" i="21" s="1"/>
  <c r="R84" i="2" s="1"/>
  <c r="G56" i="7"/>
  <c r="J33" i="21" s="1"/>
  <c r="K33" i="21" s="1"/>
  <c r="R81" i="2" s="1"/>
  <c r="G48" i="7"/>
  <c r="J25" i="21" s="1"/>
  <c r="K25" i="21" s="1"/>
  <c r="R73" i="2" s="1"/>
  <c r="A50" i="1"/>
  <c r="A21" i="16"/>
  <c r="A22" i="16" s="1"/>
  <c r="A23" i="16" s="1"/>
  <c r="Q54" i="33"/>
  <c r="T52" i="33"/>
  <c r="D60" i="1" s="1"/>
  <c r="D72" i="1"/>
  <c r="J24" i="32"/>
  <c r="T62" i="33"/>
  <c r="S80" i="33"/>
  <c r="G58" i="7"/>
  <c r="J35" i="21" s="1"/>
  <c r="K35" i="21" s="1"/>
  <c r="R83" i="2" s="1"/>
  <c r="H32" i="27"/>
  <c r="G28" i="27"/>
  <c r="G30" i="27" s="1"/>
  <c r="H15" i="27"/>
  <c r="H28" i="27" s="1"/>
  <c r="H30" i="27" s="1"/>
  <c r="K28" i="27"/>
  <c r="K30" i="27" s="1"/>
  <c r="I158" i="1"/>
  <c r="G64" i="7" l="1"/>
  <c r="J41" i="21" s="1"/>
  <c r="K41" i="21" s="1"/>
  <c r="R89" i="2" s="1"/>
  <c r="G67" i="7"/>
  <c r="G63" i="7"/>
  <c r="J40" i="21" s="1"/>
  <c r="K40" i="21" s="1"/>
  <c r="R88" i="2" s="1"/>
  <c r="G62" i="7"/>
  <c r="J39" i="21" s="1"/>
  <c r="K39" i="21" s="1"/>
  <c r="R87" i="2" s="1"/>
  <c r="G66" i="7"/>
  <c r="J43" i="21" s="1"/>
  <c r="K43" i="21" s="1"/>
  <c r="G68" i="7"/>
  <c r="G65" i="7"/>
  <c r="J42" i="21" s="1"/>
  <c r="K42" i="21" s="1"/>
  <c r="R90" i="2" s="1"/>
  <c r="G61" i="7"/>
  <c r="J38" i="21" s="1"/>
  <c r="K38" i="21" s="1"/>
  <c r="R86" i="2" s="1"/>
  <c r="G60" i="7"/>
  <c r="J37" i="21" s="1"/>
  <c r="K37" i="21" s="1"/>
  <c r="R85" i="2" s="1"/>
  <c r="D200" i="1"/>
  <c r="G44" i="6"/>
  <c r="K44" i="6" s="1"/>
  <c r="I199" i="1" s="1"/>
  <c r="G42" i="6"/>
  <c r="K42" i="6" s="1"/>
  <c r="G43" i="6"/>
  <c r="K43" i="6" s="1"/>
  <c r="I198" i="1" s="1"/>
  <c r="D199" i="1"/>
  <c r="E14" i="16" s="1"/>
  <c r="E15" i="16" s="1"/>
  <c r="F12" i="29"/>
  <c r="E12" i="29"/>
  <c r="G56" i="27"/>
  <c r="H56" i="27" s="1"/>
  <c r="K34" i="27"/>
  <c r="G12" i="29"/>
  <c r="T80" i="33"/>
  <c r="G34" i="27"/>
  <c r="D131" i="1"/>
  <c r="A24" i="16"/>
  <c r="A25" i="16" s="1"/>
  <c r="A26" i="16" s="1"/>
  <c r="A27" i="16" s="1"/>
  <c r="A51" i="1"/>
  <c r="D70" i="1"/>
  <c r="A133" i="1"/>
  <c r="A134" i="1" s="1"/>
  <c r="A135" i="1" s="1"/>
  <c r="I23" i="1"/>
  <c r="C131" i="1"/>
  <c r="I20" i="27"/>
  <c r="H34" i="27"/>
  <c r="R95" i="2" l="1"/>
  <c r="I19" i="1" s="1"/>
  <c r="K48" i="21"/>
  <c r="J48" i="21"/>
  <c r="J51" i="21" s="1"/>
  <c r="E199" i="1"/>
  <c r="F14" i="16" s="1"/>
  <c r="J14" i="16" s="1"/>
  <c r="E198" i="1"/>
  <c r="F13" i="16" s="1"/>
  <c r="J13" i="16" s="1"/>
  <c r="K45" i="6"/>
  <c r="I200" i="1" s="1"/>
  <c r="I197" i="1"/>
  <c r="E197" i="1"/>
  <c r="F12" i="16" s="1"/>
  <c r="J12" i="16" s="1"/>
  <c r="B30" i="16"/>
  <c r="A136" i="1"/>
  <c r="A137" i="1" s="1"/>
  <c r="A138" i="1" s="1"/>
  <c r="A139" i="1" s="1"/>
  <c r="A140" i="1" s="1"/>
  <c r="A141" i="1" s="1"/>
  <c r="A142" i="1" s="1"/>
  <c r="A52" i="1"/>
  <c r="B29" i="16"/>
  <c r="A28" i="16"/>
  <c r="A29" i="16" s="1"/>
  <c r="A30" i="16" s="1"/>
  <c r="A31" i="16" s="1"/>
  <c r="A33" i="16" s="1"/>
  <c r="B28" i="16"/>
  <c r="I21" i="27"/>
  <c r="D148" i="1" l="1"/>
  <c r="J15" i="16"/>
  <c r="E20" i="16" s="1"/>
  <c r="B31" i="16"/>
  <c r="A144" i="1"/>
  <c r="A146" i="1" s="1"/>
  <c r="A147" i="1" s="1"/>
  <c r="I22" i="27"/>
  <c r="A35" i="16"/>
  <c r="A36" i="16" s="1"/>
  <c r="A37" i="16" s="1"/>
  <c r="A38" i="16" s="1"/>
  <c r="A39" i="16" s="1"/>
  <c r="A40" i="16" s="1"/>
  <c r="B27" i="16"/>
  <c r="A53" i="1"/>
  <c r="A55" i="1" s="1"/>
  <c r="A56" i="1" s="1"/>
  <c r="C142" i="1"/>
  <c r="I23" i="27" l="1"/>
  <c r="C66" i="1"/>
  <c r="A57" i="1"/>
  <c r="A148" i="1"/>
  <c r="B151" i="1"/>
  <c r="A149" i="1" l="1"/>
  <c r="A150" i="1" s="1"/>
  <c r="A151" i="1" s="1"/>
  <c r="A58" i="1"/>
  <c r="C67" i="1"/>
  <c r="I24" i="27"/>
  <c r="A59" i="1" l="1"/>
  <c r="C68" i="1"/>
  <c r="A152" i="1"/>
  <c r="C156" i="1" s="1"/>
  <c r="I25" i="27"/>
  <c r="I26" i="27" l="1"/>
  <c r="A60" i="1"/>
  <c r="C69" i="1"/>
  <c r="A153" i="1"/>
  <c r="A154" i="1" l="1"/>
  <c r="C158" i="1" s="1"/>
  <c r="C157" i="1"/>
  <c r="A61" i="1"/>
  <c r="C70" i="1"/>
  <c r="I27" i="27"/>
  <c r="A62" i="1" l="1"/>
  <c r="C71" i="1"/>
  <c r="I28" i="27"/>
  <c r="A155" i="1"/>
  <c r="A63" i="1" l="1"/>
  <c r="A65" i="1" s="1"/>
  <c r="A66" i="1" s="1"/>
  <c r="A67" i="1" s="1"/>
  <c r="A68" i="1" s="1"/>
  <c r="A69" i="1" s="1"/>
  <c r="A70" i="1" s="1"/>
  <c r="A71" i="1" s="1"/>
  <c r="A72" i="1" s="1"/>
  <c r="A73" i="1" s="1"/>
  <c r="A75" i="1" s="1"/>
  <c r="A76" i="1" s="1"/>
  <c r="A77" i="1" s="1"/>
  <c r="A78" i="1" s="1"/>
  <c r="A79" i="1" s="1"/>
  <c r="A80" i="1" s="1"/>
  <c r="A81" i="1" s="1"/>
  <c r="A82" i="1" s="1"/>
  <c r="A83" i="1" s="1"/>
  <c r="A84" i="1" s="1"/>
  <c r="A85" i="1" s="1"/>
  <c r="A86" i="1" s="1"/>
  <c r="A87" i="1" s="1"/>
  <c r="A88" i="1" s="1"/>
  <c r="A90" i="1" s="1"/>
  <c r="A92" i="1" s="1"/>
  <c r="A93" i="1" s="1"/>
  <c r="A94" i="1" s="1"/>
  <c r="A95" i="1" s="1"/>
  <c r="A96" i="1" s="1"/>
  <c r="A98" i="1" s="1"/>
  <c r="C72" i="1"/>
  <c r="A156" i="1"/>
  <c r="A157" i="1" s="1"/>
  <c r="A158" i="1" s="1"/>
  <c r="A159" i="1" s="1"/>
  <c r="C159" i="1" l="1"/>
  <c r="A161" i="1"/>
  <c r="A162" i="1" s="1"/>
  <c r="C164" i="1" s="1"/>
  <c r="A164" i="1" l="1"/>
  <c r="C11" i="1" s="1"/>
  <c r="C155" i="1"/>
  <c r="D152" i="1" l="1"/>
  <c r="E24" i="16" l="1"/>
  <c r="E28" i="16" s="1"/>
  <c r="D156" i="1"/>
  <c r="I156" i="1" l="1"/>
  <c r="J24" i="5" l="1"/>
  <c r="D57" i="1" s="1"/>
  <c r="L24" i="5"/>
  <c r="D61" i="1" s="1"/>
  <c r="K24" i="5"/>
  <c r="D59" i="1" s="1"/>
  <c r="D63" i="1" l="1"/>
  <c r="D24" i="5" l="1"/>
  <c r="D49" i="1" s="1"/>
  <c r="D69" i="1" s="1"/>
  <c r="C24" i="5"/>
  <c r="D47" i="1" s="1"/>
  <c r="D67" i="1" l="1"/>
  <c r="I178" i="1"/>
  <c r="I181" i="1" s="1"/>
  <c r="I183" i="1" s="1"/>
  <c r="E24" i="5"/>
  <c r="D51" i="1" s="1"/>
  <c r="D71" i="1" l="1"/>
  <c r="D73" i="1" s="1"/>
  <c r="D53" i="1"/>
  <c r="G14" i="1"/>
  <c r="E188" i="1"/>
  <c r="G188" i="1" s="1"/>
  <c r="G191" i="1" s="1"/>
  <c r="I191" i="1" s="1"/>
  <c r="G111" i="1"/>
  <c r="G47" i="1"/>
  <c r="G57" i="1" l="1"/>
  <c r="I47" i="1"/>
  <c r="G94" i="1"/>
  <c r="I94" i="1" s="1"/>
  <c r="G112" i="1"/>
  <c r="G118" i="1"/>
  <c r="I118" i="1" s="1"/>
  <c r="I119" i="1" s="1"/>
  <c r="I111" i="1"/>
  <c r="G51" i="30"/>
  <c r="G26" i="32"/>
  <c r="G27" i="32" s="1"/>
  <c r="G120" i="1"/>
  <c r="I120" i="1" s="1"/>
  <c r="H53" i="5"/>
  <c r="S28" i="33"/>
  <c r="G76" i="30"/>
  <c r="G77" i="30" s="1"/>
  <c r="G49" i="1"/>
  <c r="G65" i="30"/>
  <c r="G66" i="30" s="1"/>
  <c r="G87" i="30"/>
  <c r="G88" i="30" s="1"/>
  <c r="G128" i="1"/>
  <c r="I128" i="1" s="1"/>
  <c r="L12" i="27"/>
  <c r="G121" i="1"/>
  <c r="I121" i="1" s="1"/>
  <c r="G126" i="1"/>
  <c r="I53" i="5" l="1"/>
  <c r="H54" i="5"/>
  <c r="E66" i="2"/>
  <c r="E95" i="2" s="1"/>
  <c r="I18" i="2"/>
  <c r="I112" i="1"/>
  <c r="G113" i="1"/>
  <c r="I113" i="1" s="1"/>
  <c r="G135" i="1"/>
  <c r="I126" i="1"/>
  <c r="S29" i="33"/>
  <c r="T29" i="33" s="1"/>
  <c r="I50" i="1" s="1"/>
  <c r="S53" i="33"/>
  <c r="H51" i="30"/>
  <c r="G52" i="30"/>
  <c r="H52" i="30" s="1"/>
  <c r="L53" i="27"/>
  <c r="L16" i="27"/>
  <c r="L17" i="27"/>
  <c r="L47" i="27"/>
  <c r="L21" i="27"/>
  <c r="L49" i="27"/>
  <c r="L32" i="27"/>
  <c r="L54" i="27"/>
  <c r="L51" i="27"/>
  <c r="L27" i="27"/>
  <c r="L19" i="27"/>
  <c r="L55" i="27"/>
  <c r="L45" i="27"/>
  <c r="L15" i="27"/>
  <c r="L56" i="27"/>
  <c r="L50" i="27"/>
  <c r="L46" i="27"/>
  <c r="L26" i="27"/>
  <c r="L20" i="27"/>
  <c r="L52" i="27"/>
  <c r="L23" i="27"/>
  <c r="L33" i="27"/>
  <c r="L73" i="27"/>
  <c r="L24" i="27"/>
  <c r="L25" i="27"/>
  <c r="L18" i="27"/>
  <c r="L48" i="27"/>
  <c r="L22" i="27"/>
  <c r="L44" i="27"/>
  <c r="G51" i="1"/>
  <c r="G59" i="1"/>
  <c r="I59" i="1" s="1"/>
  <c r="I49" i="1"/>
  <c r="I57" i="1"/>
  <c r="G90" i="1"/>
  <c r="H54" i="30" l="1"/>
  <c r="D36" i="30" s="1"/>
  <c r="D37" i="30" s="1"/>
  <c r="D38" i="30" s="1"/>
  <c r="D23" i="30" s="1"/>
  <c r="L83" i="27"/>
  <c r="L82" i="27"/>
  <c r="L95" i="27"/>
  <c r="L94" i="27"/>
  <c r="L78" i="27"/>
  <c r="L34" i="27"/>
  <c r="G136" i="1"/>
  <c r="I136" i="1" s="1"/>
  <c r="I135" i="1"/>
  <c r="I90" i="1"/>
  <c r="G125" i="1"/>
  <c r="I125" i="1" s="1"/>
  <c r="I51" i="1"/>
  <c r="G52" i="1"/>
  <c r="I52" i="1" s="1"/>
  <c r="G61" i="1"/>
  <c r="L28" i="27"/>
  <c r="L30" i="27" s="1"/>
  <c r="S54" i="33"/>
  <c r="T54" i="33" s="1"/>
  <c r="I60" i="1" s="1"/>
  <c r="S81" i="33"/>
  <c r="I67" i="1"/>
  <c r="I54" i="5"/>
  <c r="H55" i="5"/>
  <c r="I69" i="1"/>
  <c r="L84" i="27" l="1"/>
  <c r="I53" i="1"/>
  <c r="G53" i="1" s="1"/>
  <c r="H26" i="32" s="1"/>
  <c r="H27" i="32" s="1"/>
  <c r="J27" i="32" s="1"/>
  <c r="I115" i="1" s="1"/>
  <c r="I122" i="1" s="1"/>
  <c r="I70" i="1"/>
  <c r="L96" i="27"/>
  <c r="H56" i="5"/>
  <c r="I55" i="5"/>
  <c r="I19" i="2"/>
  <c r="I61" i="1"/>
  <c r="I71" i="1" s="1"/>
  <c r="G62" i="1"/>
  <c r="I62" i="1" s="1"/>
  <c r="I72" i="1" s="1"/>
  <c r="G129" i="1"/>
  <c r="I129" i="1" s="1"/>
  <c r="S82" i="33"/>
  <c r="T82" i="33" s="1"/>
  <c r="F106" i="33"/>
  <c r="F107" i="33" s="1"/>
  <c r="G107" i="33" s="1"/>
  <c r="I127" i="1" s="1"/>
  <c r="I131" i="1" l="1"/>
  <c r="G138" i="1"/>
  <c r="I138" i="1" s="1"/>
  <c r="I73" i="1"/>
  <c r="G73" i="1" s="1"/>
  <c r="I93" i="1"/>
  <c r="I96" i="1" s="1"/>
  <c r="I22" i="2"/>
  <c r="I23" i="2" s="1"/>
  <c r="L23" i="2" s="1"/>
  <c r="I26" i="2"/>
  <c r="I27" i="2" s="1"/>
  <c r="L27" i="2" s="1"/>
  <c r="H57" i="5"/>
  <c r="I56" i="5"/>
  <c r="I63" i="1"/>
  <c r="G140" i="1" l="1"/>
  <c r="I140" i="1" s="1"/>
  <c r="G141" i="1"/>
  <c r="I141" i="1" s="1"/>
  <c r="I142" i="1" s="1"/>
  <c r="I30" i="2" s="1"/>
  <c r="I31" i="2" s="1"/>
  <c r="L31" i="2" s="1"/>
  <c r="L36" i="2" s="1"/>
  <c r="F70" i="2" s="1"/>
  <c r="G70" i="2" s="1"/>
  <c r="I57" i="5"/>
  <c r="H58" i="5"/>
  <c r="I58" i="5" s="1"/>
  <c r="F65" i="30"/>
  <c r="F66" i="30" s="1"/>
  <c r="J12" i="27"/>
  <c r="F87" i="30"/>
  <c r="F88" i="30" s="1"/>
  <c r="H88" i="30" s="1"/>
  <c r="F76" i="30"/>
  <c r="F77" i="30" s="1"/>
  <c r="H77" i="30" s="1"/>
  <c r="D15" i="30" s="1"/>
  <c r="H28" i="16"/>
  <c r="F89" i="2" l="1"/>
  <c r="G89" i="2" s="1"/>
  <c r="F90" i="2"/>
  <c r="G90" i="2" s="1"/>
  <c r="I65" i="5"/>
  <c r="D81" i="1" s="1"/>
  <c r="I81" i="1" s="1"/>
  <c r="H29" i="16"/>
  <c r="J28" i="16"/>
  <c r="H66" i="30"/>
  <c r="D7" i="30"/>
  <c r="D8" i="30" s="1"/>
  <c r="D22" i="30" s="1"/>
  <c r="J78" i="27"/>
  <c r="M78" i="27" s="1"/>
  <c r="J51" i="27"/>
  <c r="M51" i="27" s="1"/>
  <c r="J45" i="27"/>
  <c r="M45" i="27" s="1"/>
  <c r="J47" i="27"/>
  <c r="M47" i="27" s="1"/>
  <c r="J18" i="27"/>
  <c r="M18" i="27" s="1"/>
  <c r="J56" i="27"/>
  <c r="M56" i="27" s="1"/>
  <c r="J22" i="27"/>
  <c r="M22" i="27" s="1"/>
  <c r="J23" i="27"/>
  <c r="M23" i="27" s="1"/>
  <c r="J73" i="27"/>
  <c r="J17" i="27"/>
  <c r="M17" i="27" s="1"/>
  <c r="J20" i="27"/>
  <c r="M20" i="27" s="1"/>
  <c r="J49" i="27"/>
  <c r="M49" i="27" s="1"/>
  <c r="J15" i="27"/>
  <c r="M15" i="27" s="1"/>
  <c r="J21" i="27"/>
  <c r="M21" i="27" s="1"/>
  <c r="J26" i="27"/>
  <c r="M26" i="27" s="1"/>
  <c r="J54" i="27"/>
  <c r="M54" i="27" s="1"/>
  <c r="J52" i="27"/>
  <c r="M52" i="27" s="1"/>
  <c r="J16" i="27"/>
  <c r="M16" i="27" s="1"/>
  <c r="J48" i="27"/>
  <c r="M48" i="27" s="1"/>
  <c r="J32" i="27"/>
  <c r="J33" i="27"/>
  <c r="M33" i="27" s="1"/>
  <c r="J25" i="27"/>
  <c r="M25" i="27" s="1"/>
  <c r="J50" i="27"/>
  <c r="M50" i="27" s="1"/>
  <c r="J46" i="27"/>
  <c r="M46" i="27" s="1"/>
  <c r="J44" i="27"/>
  <c r="M44" i="27" s="1"/>
  <c r="J24" i="27"/>
  <c r="M24" i="27" s="1"/>
  <c r="J55" i="27"/>
  <c r="M55" i="27" s="1"/>
  <c r="J53" i="27"/>
  <c r="M53" i="27" s="1"/>
  <c r="J19" i="27"/>
  <c r="M19" i="27" s="1"/>
  <c r="J27" i="27"/>
  <c r="M27" i="27" s="1"/>
  <c r="J28" i="27"/>
  <c r="F85" i="2"/>
  <c r="G85" i="2" s="1"/>
  <c r="F77" i="2"/>
  <c r="G77" i="2" s="1"/>
  <c r="F67" i="2"/>
  <c r="G67" i="2" s="1"/>
  <c r="F75" i="2"/>
  <c r="G75" i="2" s="1"/>
  <c r="F87" i="2"/>
  <c r="G87" i="2" s="1"/>
  <c r="F66" i="2"/>
  <c r="G66" i="2" s="1"/>
  <c r="F84" i="2"/>
  <c r="G84" i="2" s="1"/>
  <c r="F76" i="2"/>
  <c r="G76" i="2" s="1"/>
  <c r="F83" i="2"/>
  <c r="G83" i="2" s="1"/>
  <c r="F74" i="2"/>
  <c r="G74" i="2" s="1"/>
  <c r="F86" i="2"/>
  <c r="G86" i="2" s="1"/>
  <c r="F71" i="2"/>
  <c r="G71" i="2" s="1"/>
  <c r="F82" i="2"/>
  <c r="G82" i="2" s="1"/>
  <c r="F88" i="2"/>
  <c r="G88" i="2" s="1"/>
  <c r="F81" i="2"/>
  <c r="G81" i="2" s="1"/>
  <c r="F73" i="2"/>
  <c r="G73" i="2" s="1"/>
  <c r="F72" i="2"/>
  <c r="G72" i="2" s="1"/>
  <c r="F69" i="2"/>
  <c r="G69" i="2" s="1"/>
  <c r="F78" i="2"/>
  <c r="G78" i="2" s="1"/>
  <c r="F68" i="2"/>
  <c r="G68" i="2" s="1"/>
  <c r="F79" i="2"/>
  <c r="G79" i="2" s="1"/>
  <c r="F80" i="2"/>
  <c r="G80" i="2" s="1"/>
  <c r="M57" i="27" l="1"/>
  <c r="H30" i="16"/>
  <c r="J30" i="16" s="1"/>
  <c r="J29" i="16"/>
  <c r="D43" i="30"/>
  <c r="D24" i="30"/>
  <c r="J94" i="27"/>
  <c r="J76" i="27"/>
  <c r="J77" i="27"/>
  <c r="J82" i="27"/>
  <c r="J95" i="27"/>
  <c r="M95" i="27" s="1"/>
  <c r="J83" i="27"/>
  <c r="F44" i="5"/>
  <c r="D77" i="1"/>
  <c r="J34" i="27"/>
  <c r="M34" i="27" s="1"/>
  <c r="M32" i="27"/>
  <c r="M28" i="27"/>
  <c r="M30" i="27" s="1"/>
  <c r="M60" i="27" l="1"/>
  <c r="J96" i="27"/>
  <c r="M94" i="27"/>
  <c r="M96" i="27" s="1"/>
  <c r="I77" i="1"/>
  <c r="J84" i="27"/>
  <c r="M84" i="27" s="1"/>
  <c r="D14" i="1"/>
  <c r="I14" i="1"/>
  <c r="I33" i="2" s="1"/>
  <c r="D79" i="1" l="1"/>
  <c r="I79" i="1" s="1"/>
  <c r="H44" i="5"/>
  <c r="D78" i="1"/>
  <c r="G44" i="5"/>
  <c r="I78" i="1" l="1"/>
  <c r="I88" i="1" s="1"/>
  <c r="I98" i="1" s="1"/>
  <c r="D88" i="1"/>
  <c r="D98" i="1" s="1"/>
  <c r="D162" i="1" s="1"/>
  <c r="D155" i="1" s="1"/>
  <c r="D159" i="1" s="1"/>
  <c r="D164" i="1" s="1"/>
  <c r="K7" i="16" l="1"/>
  <c r="I162" i="1"/>
  <c r="K35" i="16" l="1"/>
  <c r="I155" i="1"/>
  <c r="I159" i="1" s="1"/>
  <c r="I164" i="1" s="1"/>
  <c r="I11" i="1" s="1"/>
  <c r="I43" i="2"/>
  <c r="I44" i="2" s="1"/>
  <c r="K16" i="16"/>
  <c r="J27" i="16" s="1"/>
  <c r="J31" i="16" s="1"/>
  <c r="K31" i="16" s="1"/>
  <c r="K33" i="16" s="1"/>
  <c r="E27" i="16" s="1"/>
  <c r="E31" i="16" s="1"/>
  <c r="K39" i="16"/>
  <c r="I16" i="1" l="1"/>
  <c r="T97" i="2"/>
  <c r="L44" i="2"/>
  <c r="I39" i="2"/>
  <c r="I40" i="2" s="1"/>
  <c r="L40" i="2" s="1"/>
  <c r="K36" i="16"/>
  <c r="K37" i="16" s="1"/>
  <c r="K38" i="16" s="1"/>
  <c r="K40" i="16" s="1"/>
  <c r="I46" i="2" l="1"/>
  <c r="L46" i="2"/>
  <c r="I70" i="2" s="1"/>
  <c r="I89" i="2" l="1"/>
  <c r="I90" i="2"/>
  <c r="I73" i="2"/>
  <c r="I67" i="2"/>
  <c r="I74" i="2"/>
  <c r="I84" i="2"/>
  <c r="I71" i="2"/>
  <c r="I75" i="2"/>
  <c r="I87" i="2"/>
  <c r="I79" i="2"/>
  <c r="I81" i="2"/>
  <c r="I80" i="2"/>
  <c r="I68" i="2"/>
  <c r="I88" i="2"/>
  <c r="I86" i="2"/>
  <c r="I77" i="2"/>
  <c r="I85" i="2"/>
  <c r="I76" i="2"/>
  <c r="I82" i="2"/>
  <c r="I66" i="2"/>
  <c r="I83" i="2"/>
  <c r="I72" i="2"/>
  <c r="I78" i="2"/>
  <c r="I69" i="2"/>
  <c r="N67" i="2" l="1"/>
  <c r="J67" i="2"/>
  <c r="L67" i="2" l="1"/>
  <c r="O67" i="2" s="1"/>
  <c r="N78" i="2"/>
  <c r="J78" i="2"/>
  <c r="L78" i="2" s="1"/>
  <c r="N86" i="2"/>
  <c r="J86" i="2"/>
  <c r="L86" i="2" s="1"/>
  <c r="K66" i="2"/>
  <c r="H66" i="2"/>
  <c r="N69" i="2"/>
  <c r="J69" i="2"/>
  <c r="L69" i="2" s="1"/>
  <c r="N74" i="2"/>
  <c r="J74" i="2"/>
  <c r="L74" i="2" s="1"/>
  <c r="N83" i="2"/>
  <c r="J83" i="2"/>
  <c r="L83" i="2" s="1"/>
  <c r="N87" i="2"/>
  <c r="J87" i="2"/>
  <c r="L87" i="2" s="1"/>
  <c r="N71" i="2"/>
  <c r="J71" i="2"/>
  <c r="N72" i="2"/>
  <c r="J72" i="2"/>
  <c r="L72" i="2" s="1"/>
  <c r="N77" i="2"/>
  <c r="J77" i="2"/>
  <c r="L77" i="2" s="1"/>
  <c r="N81" i="2"/>
  <c r="J81" i="2"/>
  <c r="L81" i="2" s="1"/>
  <c r="N85" i="2"/>
  <c r="J85" i="2"/>
  <c r="L85" i="2" s="1"/>
  <c r="N89" i="2"/>
  <c r="J89" i="2"/>
  <c r="L89" i="2" s="1"/>
  <c r="N68" i="2"/>
  <c r="J68" i="2"/>
  <c r="L68" i="2" s="1"/>
  <c r="N73" i="2"/>
  <c r="J73" i="2"/>
  <c r="L73" i="2" s="1"/>
  <c r="N82" i="2"/>
  <c r="J82" i="2"/>
  <c r="L82" i="2" s="1"/>
  <c r="N90" i="2"/>
  <c r="J90" i="2"/>
  <c r="L90" i="2" s="1"/>
  <c r="N79" i="2"/>
  <c r="J79" i="2"/>
  <c r="L79" i="2" s="1"/>
  <c r="N76" i="2"/>
  <c r="J76" i="2"/>
  <c r="L76" i="2" s="1"/>
  <c r="N75" i="2"/>
  <c r="J75" i="2"/>
  <c r="L75" i="2" s="1"/>
  <c r="N80" i="2"/>
  <c r="J80" i="2"/>
  <c r="L80" i="2" s="1"/>
  <c r="N84" i="2"/>
  <c r="J84" i="2"/>
  <c r="L84" i="2" s="1"/>
  <c r="N88" i="2"/>
  <c r="J88" i="2"/>
  <c r="L88" i="2" s="1"/>
  <c r="Q67" i="2" l="1"/>
  <c r="S67" i="2" s="1"/>
  <c r="Q84" i="2"/>
  <c r="O84" i="2"/>
  <c r="O75" i="2"/>
  <c r="Q75" i="2"/>
  <c r="O86" i="2"/>
  <c r="Q86" i="2"/>
  <c r="H95" i="2"/>
  <c r="N66" i="2"/>
  <c r="J66" i="2"/>
  <c r="Q79" i="2"/>
  <c r="O79" i="2"/>
  <c r="Q90" i="2"/>
  <c r="O90" i="2"/>
  <c r="Q73" i="2"/>
  <c r="O73" i="2"/>
  <c r="O89" i="2"/>
  <c r="Q89" i="2"/>
  <c r="O81" i="2"/>
  <c r="Q81" i="2"/>
  <c r="Q72" i="2"/>
  <c r="O72" i="2"/>
  <c r="O87" i="2"/>
  <c r="Q87" i="2"/>
  <c r="O74" i="2"/>
  <c r="Q74" i="2"/>
  <c r="J70" i="2"/>
  <c r="L70" i="2" s="1"/>
  <c r="N70" i="2"/>
  <c r="O88" i="2"/>
  <c r="Q88" i="2"/>
  <c r="O80" i="2"/>
  <c r="Q80" i="2"/>
  <c r="Q76" i="2"/>
  <c r="O76" i="2"/>
  <c r="Q78" i="2"/>
  <c r="O78" i="2"/>
  <c r="Q82" i="2"/>
  <c r="O82" i="2"/>
  <c r="Q68" i="2"/>
  <c r="O68" i="2"/>
  <c r="O85" i="2"/>
  <c r="Q85" i="2"/>
  <c r="Q77" i="2"/>
  <c r="O77" i="2"/>
  <c r="L71" i="2"/>
  <c r="O83" i="2"/>
  <c r="Q83" i="2"/>
  <c r="Q69" i="2"/>
  <c r="O69" i="2"/>
  <c r="S85" i="2" l="1"/>
  <c r="S74" i="2"/>
  <c r="S89" i="2"/>
  <c r="S82" i="2"/>
  <c r="S83" i="2"/>
  <c r="S77" i="2"/>
  <c r="S68" i="2"/>
  <c r="S78" i="2"/>
  <c r="S73" i="2"/>
  <c r="S79" i="2"/>
  <c r="S86" i="2"/>
  <c r="S88" i="2"/>
  <c r="S84" i="2"/>
  <c r="S76" i="2"/>
  <c r="S72" i="2"/>
  <c r="S90" i="2"/>
  <c r="S75" i="2"/>
  <c r="S69" i="2"/>
  <c r="S80" i="2"/>
  <c r="S87" i="2"/>
  <c r="S81" i="2"/>
  <c r="N95" i="2"/>
  <c r="Q71" i="2"/>
  <c r="O71" i="2"/>
  <c r="O70" i="2"/>
  <c r="Q70" i="2"/>
  <c r="J95" i="2"/>
  <c r="L66" i="2"/>
  <c r="S71" i="2" l="1"/>
  <c r="S70" i="2"/>
  <c r="Q66" i="2"/>
  <c r="L95" i="2"/>
  <c r="O66" i="2"/>
  <c r="O95" i="2" s="1"/>
  <c r="I22" i="1" l="1"/>
  <c r="I24" i="1" s="1"/>
  <c r="I30" i="1" s="1"/>
  <c r="S66" i="2"/>
  <c r="Q95" i="2"/>
  <c r="I18" i="1" s="1"/>
  <c r="S95" i="2" l="1"/>
  <c r="I20" i="1" s="1"/>
  <c r="T98" i="2" l="1"/>
  <c r="T99" i="2" s="1"/>
</calcChain>
</file>

<file path=xl/sharedStrings.xml><?xml version="1.0" encoding="utf-8"?>
<sst xmlns="http://schemas.openxmlformats.org/spreadsheetml/2006/main" count="2656" uniqueCount="1310">
  <si>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</si>
  <si>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</si>
  <si>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</si>
  <si>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</si>
  <si>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</si>
  <si>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</si>
  <si>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</si>
  <si>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</si>
  <si>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</si>
  <si>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</si>
  <si>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</si>
  <si>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</si>
  <si>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</si>
  <si>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</si>
  <si>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</si>
  <si>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</si>
  <si>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</si>
  <si>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</si>
  <si>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</si>
  <si>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</si>
  <si>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</si>
  <si>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</si>
  <si>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</si>
  <si>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</si>
  <si>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</si>
  <si>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</si>
  <si>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</si>
  <si>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</si>
  <si>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</si>
  <si>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</si>
  <si>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</si>
  <si>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</si>
  <si>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</si>
  <si>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</si>
  <si>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</si>
  <si>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PLANT RELATED</t>
  </si>
  <si>
    <t xml:space="preserve">         Property</t>
  </si>
  <si>
    <t xml:space="preserve">         Gross Receipts</t>
  </si>
  <si>
    <t xml:space="preserve">         Other</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</si>
  <si>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</si>
  <si>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</si>
  <si>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</si>
  <si>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</si>
  <si>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</si>
  <si>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</si>
  <si>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</si>
  <si>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</si>
  <si>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</si>
  <si>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</si>
  <si>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</si>
  <si>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</si>
  <si>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 Allocation)</t>
  </si>
  <si>
    <t>=</t>
  </si>
  <si>
    <t>WS</t>
  </si>
  <si>
    <t>RETURN (R)</t>
  </si>
  <si>
    <t>Cost</t>
  </si>
  <si>
    <t>%</t>
  </si>
  <si>
    <t>Weighted</t>
  </si>
  <si>
    <t>=WCLTD</t>
  </si>
  <si>
    <t>=R</t>
  </si>
  <si>
    <t>General Note:  References to pages in this formulary rate are indicated as:  (page#, line#, col.#)</t>
  </si>
  <si>
    <t>Note</t>
  </si>
  <si>
    <t>Letter</t>
  </si>
  <si>
    <t>A</t>
  </si>
  <si>
    <t>B</t>
  </si>
  <si>
    <t>C</t>
  </si>
  <si>
    <t>D</t>
  </si>
  <si>
    <t>E</t>
  </si>
  <si>
    <t>F</t>
  </si>
  <si>
    <t>G</t>
  </si>
  <si>
    <t>H</t>
  </si>
  <si>
    <t>I</t>
  </si>
  <si>
    <t>J</t>
  </si>
  <si>
    <t xml:space="preserve">         Inputs Required:</t>
  </si>
  <si>
    <t>FIT =</t>
  </si>
  <si>
    <t>SIT=</t>
  </si>
  <si>
    <t>p =</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</si>
  <si>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</si>
  <si>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</si>
  <si>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</si>
  <si>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</si>
  <si>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</si>
  <si>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</si>
  <si>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</si>
  <si>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</si>
  <si>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</si>
  <si>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</si>
  <si>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</si>
  <si>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</si>
  <si>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</si>
  <si>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</si>
  <si>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</si>
  <si>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</si>
  <si>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</si>
  <si>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</si>
  <si>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</si>
  <si>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</si>
  <si>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</si>
  <si>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</si>
  <si>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</si>
  <si>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</si>
  <si>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</si>
  <si>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Total Account 566</t>
  </si>
  <si>
    <t xml:space="preserve">   Amortization of Regulatory Asset</t>
  </si>
  <si>
    <t>Utilizing FERC Form 1 Data</t>
  </si>
  <si>
    <t>K</t>
  </si>
  <si>
    <t xml:space="preserve">  Unamortized Regulatory Asset </t>
  </si>
  <si>
    <t xml:space="preserve">  Unamortized Abandoned Plant  </t>
  </si>
  <si>
    <t>page 1 of 5</t>
  </si>
  <si>
    <t>(Note C)</t>
  </si>
  <si>
    <t>(Note D)</t>
  </si>
  <si>
    <t>page 2 of 5</t>
  </si>
  <si>
    <t>zero</t>
  </si>
  <si>
    <t xml:space="preserve">  CWC </t>
  </si>
  <si>
    <t>page 3 of 5</t>
  </si>
  <si>
    <t>Permanent Differences Tax Adjustment</t>
  </si>
  <si>
    <t>page 4 of 5</t>
  </si>
  <si>
    <t>WAGES &amp; SALARY ALLOCATOR  (W&amp;S)</t>
  </si>
  <si>
    <t xml:space="preserve">  Preferred Stock  (112.3.c)</t>
  </si>
  <si>
    <t>page 5 of 5</t>
  </si>
  <si>
    <t>References to data from FERC Form 1 are indicated as:  #.y.x  (page, line, column)</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</si>
  <si>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</si>
  <si>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</si>
  <si>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</si>
  <si>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</si>
  <si>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</si>
  <si>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</si>
  <si>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</si>
  <si>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</si>
  <si>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</si>
  <si>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</si>
  <si>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</si>
  <si>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</si>
  <si>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</si>
  <si>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</si>
  <si>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</si>
  <si>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</si>
  <si>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</si>
  <si>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</si>
  <si>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</si>
  <si>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</si>
  <si>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</si>
  <si>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</si>
  <si>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</si>
  <si>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</si>
  <si>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</si>
  <si>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</si>
  <si>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</si>
  <si>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</si>
  <si>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</si>
  <si>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</si>
  <si>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</si>
  <si>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</si>
  <si>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</si>
  <si>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</si>
  <si>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</si>
  <si>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</si>
  <si>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</si>
  <si>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</si>
  <si>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</si>
  <si>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</si>
  <si>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</si>
  <si>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</si>
  <si>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</si>
  <si>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</si>
  <si>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</si>
  <si>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</si>
  <si>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</si>
  <si>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</si>
  <si>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</si>
  <si>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</si>
  <si>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</si>
  <si>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</si>
  <si>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</si>
  <si>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</si>
  <si>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</si>
  <si>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</si>
  <si>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</si>
  <si>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</si>
  <si>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</si>
  <si>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</si>
  <si>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</si>
  <si>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Excess Deferred Income Taxes</t>
  </si>
  <si>
    <t>15</t>
  </si>
  <si>
    <t>16</t>
  </si>
  <si>
    <t>(line 9 divided by line 1 col 3)</t>
  </si>
  <si>
    <t>Sum of line 4, 6, 8, and 10</t>
  </si>
  <si>
    <t>Sum of line 13 and 15</t>
  </si>
  <si>
    <t>Project Depreciation/Amortization Expense</t>
  </si>
  <si>
    <t>Incentive Return</t>
  </si>
  <si>
    <t>Incentive Return in basis Points</t>
  </si>
  <si>
    <t>Less Revenue Credits</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</si>
  <si>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</si>
  <si>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</si>
  <si>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</si>
  <si>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</si>
  <si>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</si>
  <si>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</si>
  <si>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</si>
  <si>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</si>
  <si>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</si>
  <si>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</si>
  <si>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</si>
  <si>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</si>
  <si>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</si>
  <si>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ROE will be supported in the original filing and no change in ROE may be made absent a filing with FERC.</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</si>
  <si>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</si>
  <si>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</si>
  <si>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</si>
  <si>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</si>
  <si>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</si>
  <si>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</si>
  <si>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</si>
  <si>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</si>
  <si>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</si>
  <si>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</si>
  <si>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</si>
  <si>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</si>
  <si>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</si>
  <si>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</si>
  <si>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</si>
  <si>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</si>
  <si>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</si>
  <si>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</si>
  <si>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</si>
  <si>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U</t>
  </si>
  <si>
    <t>GROSS REVENUE REQUIREMENT</t>
  </si>
  <si>
    <t xml:space="preserve">TOTAL DEPRECIATION </t>
  </si>
  <si>
    <t xml:space="preserve">TAXES OTHER THAN INCOME TAXES </t>
  </si>
  <si>
    <t>TOTAL OTHER TAXES</t>
  </si>
  <si>
    <t>TOTAL GROSS PLANT</t>
  </si>
  <si>
    <t xml:space="preserve">TOTAL ACCUM. DEPRECIATION </t>
  </si>
  <si>
    <t xml:space="preserve">TOTAL ADJUSTMENTS </t>
  </si>
  <si>
    <t>TOTAL NET PLANT</t>
  </si>
  <si>
    <t xml:space="preserve">TOTAL WORKING CAPITAL  </t>
  </si>
  <si>
    <t xml:space="preserve">WORKING CAPITAL </t>
  </si>
  <si>
    <t xml:space="preserve">RATE BASE </t>
  </si>
  <si>
    <t>TOTAL O&amp;M</t>
  </si>
  <si>
    <t xml:space="preserve">Total </t>
  </si>
  <si>
    <t>(Note H)</t>
  </si>
  <si>
    <t>(Note I)</t>
  </si>
  <si>
    <t xml:space="preserve">Total Transmission plant  </t>
  </si>
  <si>
    <t xml:space="preserve">Less Transmission plant included in OATT Ancillary Services  </t>
  </si>
  <si>
    <t>(Line 1 minus Lines 2 &amp; 3)</t>
  </si>
  <si>
    <t>(Line 4 divided by Line 1)</t>
  </si>
  <si>
    <t>(Sum of Lines 7 through 10)</t>
  </si>
  <si>
    <t xml:space="preserve">  Long Term Debt </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</si>
  <si>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</si>
  <si>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</si>
  <si>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</si>
  <si>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</si>
  <si>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</si>
  <si>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</si>
  <si>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 xml:space="preserve">     FIT &amp; SIT &amp; P</t>
  </si>
  <si>
    <t>(Note G)</t>
  </si>
  <si>
    <t>REV. REQUIREMENT</t>
  </si>
  <si>
    <t>Gross Receipts Taxes</t>
  </si>
  <si>
    <t>1</t>
  </si>
  <si>
    <t>18</t>
  </si>
  <si>
    <t>(j)</t>
  </si>
  <si>
    <t>Account No. 566 (Misc. Trans. Expense)</t>
  </si>
  <si>
    <t>Account No. 565</t>
  </si>
  <si>
    <t>Amortization of Abandoned Plant</t>
  </si>
  <si>
    <t>(k)</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</si>
  <si>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</si>
  <si>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</si>
  <si>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</si>
  <si>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</si>
  <si>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</si>
  <si>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</si>
  <si>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</si>
  <si>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</si>
  <si>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</si>
  <si>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</si>
  <si>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</si>
  <si>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 xml:space="preserve">Rate Base Worksheet </t>
  </si>
  <si>
    <t xml:space="preserve">Average of the 13 Monthly Balances </t>
  </si>
  <si>
    <t>Average of the 13 Monthly Balances</t>
  </si>
  <si>
    <t>Account No. 255
Accumulated Deferred Investment Credit</t>
  </si>
  <si>
    <t xml:space="preserve">  Production </t>
  </si>
  <si>
    <t xml:space="preserve">  Distribution </t>
  </si>
  <si>
    <t>Attachment 4, Line 14, Col. (b)</t>
  </si>
  <si>
    <t>Attachment 4, Line 14, Col. (c)</t>
  </si>
  <si>
    <t>207.75.g for end of year, records for other months</t>
  </si>
  <si>
    <t>219.20-24.c for end of year, records for other months</t>
  </si>
  <si>
    <t>219.26.c for end of year, records for other months</t>
  </si>
  <si>
    <t>Attachment 4, Line 14, Col. (h)</t>
  </si>
  <si>
    <t>Attachment 4, Line 14, Col. (i)</t>
  </si>
  <si>
    <t>354.21.b</t>
  </si>
  <si>
    <t>354.24,25,26.b</t>
  </si>
  <si>
    <t>(14)</t>
  </si>
  <si>
    <t>(15)</t>
  </si>
  <si>
    <t>Transmission O&amp;M Expenses</t>
  </si>
  <si>
    <t>Amortization of Regulatory Asset</t>
  </si>
  <si>
    <t>Depreciation Expense - Transmission</t>
  </si>
  <si>
    <t>Payroll Taxes</t>
  </si>
  <si>
    <t>Property Taxes</t>
  </si>
  <si>
    <t xml:space="preserve">  Common Stock</t>
  </si>
  <si>
    <t>Calculation of PBOP Expenses</t>
  </si>
  <si>
    <t>Tax Effect of Permanent Differences</t>
  </si>
  <si>
    <t>Attachment 4, Line 14, Col. (f) (Note C)</t>
  </si>
  <si>
    <t>PBOPs</t>
  </si>
  <si>
    <t>(Page 1 line 11)</t>
  </si>
  <si>
    <t>(Page 1 line 16)</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</si>
  <si>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</si>
  <si>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</si>
  <si>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</si>
  <si>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</si>
  <si>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</si>
  <si>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</si>
  <si>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</si>
  <si>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Company shall be allowed recovery of costs related to interest rate locks.  Absent a Section 205 filing, Company shall not include in the Formula Rate, the gains, losses, or costs related to other hedges.</t>
  </si>
  <si>
    <t>(16)</t>
  </si>
  <si>
    <t>(Sum Col. 10 &amp; 12 Less Col. 13)</t>
  </si>
  <si>
    <t>Sum Col. 14 &amp; 15 
(Note G)</t>
  </si>
  <si>
    <t>(Note J)</t>
  </si>
  <si>
    <t>…</t>
  </si>
  <si>
    <t>Interest</t>
  </si>
  <si>
    <t>Excludes Asset Retirement Obligation balances</t>
  </si>
  <si>
    <t>(Page 2, Line 2, Column 3)</t>
  </si>
  <si>
    <t>The Tax Effect of Permanent Differences captures the differences in the income taxes due under the Federal and State calculations and the income taxes calculated in Attachment H that are not the result of a timing difference</t>
  </si>
  <si>
    <t>Attachment H, Page 3, Line Number</t>
  </si>
  <si>
    <t>Long Term Interest (117, sum of 62.c through 67.c)</t>
  </si>
  <si>
    <t>Preferred Dividends (118.29c) (positive number)</t>
  </si>
  <si>
    <t>Proprietary Capital (112.16.c)</t>
  </si>
  <si>
    <t>Common Stock</t>
  </si>
  <si>
    <t>111.57.c for end of year, records for other months</t>
  </si>
  <si>
    <t>Under/(Over)</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</si>
  <si>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</si>
  <si>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</si>
  <si>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</si>
  <si>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</si>
  <si>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</si>
  <si>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</si>
  <si>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</si>
  <si>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</si>
  <si>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</si>
  <si>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 xml:space="preserve">RATE BASE: </t>
  </si>
  <si>
    <t>DEPRECIATION EXPENSE  (Note U)</t>
  </si>
  <si>
    <t>The Unamortized Abandoned Plant balance is included in Net Plant, and Amortization of Abandoned Plant is included in Depreciation/Amortization Expense.</t>
  </si>
  <si>
    <t>Incentive ROE</t>
  </si>
  <si>
    <t>(Notes D &amp; I)</t>
  </si>
  <si>
    <t>(Notes E &amp; I)</t>
  </si>
  <si>
    <t>Ceiling Rate</t>
  </si>
  <si>
    <t>(Sum Col. 10 &amp; 12)</t>
  </si>
  <si>
    <t xml:space="preserve"> (12a)</t>
  </si>
  <si>
    <t xml:space="preserve">   Miscellaneous Transmission Expense (less amortization of regulatory asset)</t>
  </si>
  <si>
    <t>X</t>
  </si>
  <si>
    <t>Attachment H, Page 3, Line No.:</t>
  </si>
  <si>
    <t>Note:</t>
  </si>
  <si>
    <t>Note A</t>
  </si>
  <si>
    <t>Note B</t>
  </si>
  <si>
    <t xml:space="preserve">Note C  </t>
  </si>
  <si>
    <t>List of all reserves:</t>
  </si>
  <si>
    <r>
      <t>Enter 1 if NOT in a trust or</t>
    </r>
    <r>
      <rPr>
        <sz val="10"/>
        <rFont val="Times New Roman"/>
        <family val="1"/>
      </rPr>
      <t xml:space="preserve"> reserved account, enter zero (0) if included in a trust or reserved account </t>
    </r>
  </si>
  <si>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</si>
  <si>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</si>
  <si>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</si>
  <si>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</si>
  <si>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30b</t>
  </si>
  <si>
    <t>30c</t>
  </si>
  <si>
    <t>30d</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</si>
  <si>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</si>
  <si>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</si>
  <si>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</si>
  <si>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</si>
  <si>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</si>
  <si>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</si>
  <si>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</si>
  <si>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</si>
  <si>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</si>
  <si>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</si>
  <si>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</si>
  <si>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</si>
  <si>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</si>
  <si>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</si>
  <si>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</si>
  <si>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</si>
  <si>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r>
      <t>Requirement</t>
    </r>
    <r>
      <rPr>
        <vertAlign val="superscript"/>
        <sz val="10"/>
        <color theme="1"/>
        <rFont val="Times New Roman"/>
        <family val="1"/>
      </rPr>
      <t>1</t>
    </r>
  </si>
  <si>
    <t>Received</t>
  </si>
  <si>
    <t>Monthly Interest Rate</t>
  </si>
  <si>
    <t>Interest Income (Expense)</t>
  </si>
  <si>
    <t>In Dollars</t>
  </si>
  <si>
    <t>Col. (b) + Col. (c)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</si>
  <si>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</si>
  <si>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</si>
  <si>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</si>
  <si>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 xml:space="preserve"> Gross plant does not include Unamortized Abandoned Plant.</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</si>
  <si>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</si>
  <si>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</si>
  <si>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</si>
  <si>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</si>
  <si>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</si>
  <si>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</si>
  <si>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</si>
  <si>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Attachment 4, Line 28, Col. (h) (Notes B and X)</t>
  </si>
  <si>
    <t xml:space="preserve">LAND HELD FOR FUTURE USE  </t>
  </si>
  <si>
    <t xml:space="preserve"> Total  (W&amp; S Allocator is 1 if lines 7-10 are zero)</t>
  </si>
  <si>
    <t>Reserved</t>
  </si>
  <si>
    <t>GENERAL, INTANGIBLE AND COMMON (G&amp;C) DEPRECIATION EXPENSE</t>
  </si>
  <si>
    <t>Annual Allocation Factor for G, I &amp; C Depreciation Expense</t>
  </si>
  <si>
    <t>Total G, I &amp; C Depreciation Expense</t>
  </si>
  <si>
    <t>(line 14 divided by line 2 col 3)</t>
  </si>
  <si>
    <t>Gross Transmission Plant is that identified on page 2 line 2 of Attachment H</t>
  </si>
  <si>
    <t>The Total General, Intangible and Common Depreciation Expense excludes any depreciation expense directly associated with a project and thereby included in page 2 column 9.</t>
  </si>
  <si>
    <t>Net Rev Req</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</si>
  <si>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</si>
  <si>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</si>
  <si>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</si>
  <si>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</si>
  <si>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</si>
  <si>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</si>
  <si>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</si>
  <si>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</si>
  <si>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</si>
  <si>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</si>
  <si>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</si>
  <si>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</si>
  <si>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</si>
  <si>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(Note B)</t>
  </si>
  <si>
    <t>Prior Period Adjustment is the amount of an adjustment to correct an error in a prior period.  The FERC Refund interest rate specified in CFR 35.19(a) for the period up to the date the projected rates that are subject to True Up here went into effect.</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</si>
  <si>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</si>
  <si>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</si>
  <si>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</si>
  <si>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</si>
  <si>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</si>
  <si>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Includes only CWIP authorized by the Commission for inclusion in rate base.  The annual report filed pursuant to Section 7 of the Protocols will include for each project under construction (i) the CWIP balance eligible for inclusion in rate base; (ii) the CWIP balance ineligible for inclusion in rate base; and</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</si>
  <si>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</si>
  <si>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Attachment H, Pages 3 and 4, Worksheet</t>
  </si>
  <si>
    <t>Form No. 1</t>
  </si>
  <si>
    <t>321.112.b</t>
  </si>
  <si>
    <t>321.97.b</t>
  </si>
  <si>
    <t>321.96.b</t>
  </si>
  <si>
    <t>Portion of Account 566</t>
  </si>
  <si>
    <t>Balance of Account 566</t>
  </si>
  <si>
    <t>336.7.b, d &amp; e</t>
  </si>
  <si>
    <t>(Note S)</t>
  </si>
  <si>
    <t>(Note W)</t>
  </si>
  <si>
    <t>Note A:</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</si>
  <si>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</si>
  <si>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</si>
  <si>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</si>
  <si>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</si>
  <si>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</si>
  <si>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Unamortized Abandoned Plant and Amortization of Abandoned Plant will be zero until the Commission accepts or approves recovery of the cost of abandoned plant.  Utility must receive FERC authorization before recovering the cost of abandoned plant.</t>
  </si>
  <si>
    <t>Project Net Plant is the Project Gross Plant Identified in Column 3 less the associated Accumulated Depreciation.  Net Plant includes CWIP and Unamortized Abandoned Plant and excludes any regulatory asset, which are to entered as a separate line item.</t>
  </si>
  <si>
    <t>When an updated projected net revenue requirement is posted due to an asset acquisition as provided for in the Protocols, the difference between the updated net revenue requirement in Col (16) and the revenues collected to date will be recovered</t>
  </si>
  <si>
    <t>1) From Attachment 1, line 15, col. 14 for the projection for the Rate Year.</t>
  </si>
  <si>
    <t>Actual</t>
  </si>
  <si>
    <t>Projected</t>
  </si>
  <si>
    <t>(E, Line 2 ) x (D)</t>
  </si>
  <si>
    <t>Collection  (F)-(E)</t>
  </si>
  <si>
    <t>(G) + (H) + (I)</t>
  </si>
  <si>
    <t>3) The "Revenue Received" on line 2, Col. (E), is the total amount of revenue distributed to company in the  year as shown on  pages 328-330 of the Form No 1. The Revenue Received is input on line 2, Col. E excludes any True-Up revenues.</t>
  </si>
  <si>
    <t xml:space="preserve">      Column E, lines 3 are the dollar amounts of Revenue Received reflecting the % in Column D.  This assigns to each project a percentage of the revenue received based on the percentage of the Projected Net Revenue Requirement in Column C.</t>
  </si>
  <si>
    <t>5)  Prior Period Adjustment from line 5 is pro rata  to each project, unless the error was project specific.</t>
  </si>
  <si>
    <t>Rate Year being Trued-Up</t>
  </si>
  <si>
    <t>Revenue Requirement Projected</t>
  </si>
  <si>
    <t>For Rate Year</t>
  </si>
  <si>
    <t>True-Up Adjustment is calculated on the Project True-up Schedule for the Rate Year</t>
  </si>
  <si>
    <t>Page 1 of 1</t>
  </si>
  <si>
    <t>(sum lines 41-43)</t>
  </si>
  <si>
    <t>Preferred Stock balance will reflect the 13 month average of the balances, of which the 1st and 13th are found on page 112 line 3.c &amp; d in the Form No. 1</t>
  </si>
  <si>
    <t>2) From Attachment 1, line 15, col. 14 for that project based on the actual costs for the Rate Year.</t>
  </si>
  <si>
    <t xml:space="preserve">     T=1 - {[(1 - SIT) * (1 - FIT)] / (1 - SIT * FIT * p)}</t>
  </si>
  <si>
    <t>Page 1 of 2</t>
  </si>
  <si>
    <t>Calculate using 13 month average balance, except ADIT.</t>
  </si>
  <si>
    <t>Enter the percentage paid for by the transmission formula customers</t>
  </si>
  <si>
    <t>Project Net Plant or CWIP Balance</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</si>
  <si>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</si>
  <si>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 xml:space="preserve">Project Name </t>
  </si>
  <si>
    <t>205.46.g for end of year, records for other months</t>
  </si>
  <si>
    <t>[A]</t>
  </si>
  <si>
    <t>Competitive Bid Concession</t>
  </si>
  <si>
    <t>(Sum of Lines 48-50)</t>
  </si>
  <si>
    <t>ADIT and Accumulated Deferred Income Tax Credits are computed using the average of the beginning of the year and the end of the year balances. The projection will use line 108 of Attachment 4a to populate the average ADIT balance on line 28 above.</t>
  </si>
  <si>
    <t>The Net Rev Req is the value to be used in the rate calculation under the applicable Schedule under the PJM OATT for each project.</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</si>
  <si>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</si>
  <si>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</si>
  <si>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</si>
  <si>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</si>
  <si>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</si>
  <si>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</si>
  <si>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      Column D, lines 3 are sourced from the projected revenue requirement for the year at issue.</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</si>
  <si>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</si>
  <si>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no amounts shall be credited to accounts 228.1 through 228.4 unless authorized by a regulatory authority or authorities to be collected in a utility’s rates.</t>
  </si>
  <si>
    <t>Y</t>
  </si>
  <si>
    <t>Attachment 4, Line 31, Col. (h)  (Note Y)</t>
  </si>
  <si>
    <t>REGIONAL NET REVENUE REQUIREMENT</t>
  </si>
  <si>
    <t>ZONAL NET REVENUE REQUIREMENT</t>
  </si>
  <si>
    <t>Regional True-up Adjustment with Interest</t>
  </si>
  <si>
    <t>REGIONAL NET REVENUE REQUIREMENT with TRUE-UP</t>
  </si>
  <si>
    <t>ZONAL NET REVENUE REQUIREMENT with TRUE-UP</t>
  </si>
  <si>
    <t>Zonal True-up Adjustment with Interest</t>
  </si>
  <si>
    <t xml:space="preserve">Zonal </t>
  </si>
  <si>
    <t>RTO Project Number or Zonal</t>
  </si>
  <si>
    <t>Zonal</t>
  </si>
  <si>
    <t>Projected balances are for the calendar year the revenue under this formula begins to be charged.</t>
  </si>
  <si>
    <t>Projected monthly balances that are expected to be included in 219.25.c for end of year and records for other months (Note I)</t>
  </si>
  <si>
    <t xml:space="preserve">For Projection </t>
  </si>
  <si>
    <t xml:space="preserve">ADIT Worksheet for Projection </t>
  </si>
  <si>
    <t>ADIT for the Projection</t>
  </si>
  <si>
    <t>(l)</t>
  </si>
  <si>
    <t>Beginning</t>
  </si>
  <si>
    <t>Weighting</t>
  </si>
  <si>
    <t>Beginning Balance/</t>
  </si>
  <si>
    <t>100% Allocator</t>
  </si>
  <si>
    <t>Plant</t>
  </si>
  <si>
    <t>NP Allocator</t>
  </si>
  <si>
    <t>Labor</t>
  </si>
  <si>
    <t>S/W Allocator</t>
  </si>
  <si>
    <t>Balance &amp;</t>
  </si>
  <si>
    <t xml:space="preserve"> for Projection</t>
  </si>
  <si>
    <t>Monthly Increment</t>
  </si>
  <si>
    <t>(f) x Allocator</t>
  </si>
  <si>
    <t xml:space="preserve"> Related</t>
  </si>
  <si>
    <t>(h) x Allocator</t>
  </si>
  <si>
    <t>Related</t>
  </si>
  <si>
    <t>(j) x Allocator</t>
  </si>
  <si>
    <t>ADIT</t>
  </si>
  <si>
    <t>Monthly</t>
  </si>
  <si>
    <t>(d) x [(g)+(i)+(k)]</t>
  </si>
  <si>
    <t>Changes</t>
  </si>
  <si>
    <t xml:space="preserve">From Attach H </t>
  </si>
  <si>
    <t>ADIT- 282</t>
  </si>
  <si>
    <t>Page 2, Line 18</t>
  </si>
  <si>
    <t>Page 4, Line 16</t>
  </si>
  <si>
    <t>Balance</t>
  </si>
  <si>
    <t>Increment</t>
  </si>
  <si>
    <t xml:space="preserve">Sum Ties to December </t>
  </si>
  <si>
    <t>ADIT-283</t>
  </si>
  <si>
    <t>Average</t>
  </si>
  <si>
    <t>ADIT-281</t>
  </si>
  <si>
    <t>ADIT-190</t>
  </si>
  <si>
    <t>Line 34, If there are no items subject to proration, use average of lines 21 and 33</t>
  </si>
  <si>
    <t>For True-Up</t>
  </si>
  <si>
    <t>ADIT Worksheet for True-Up</t>
  </si>
  <si>
    <t>ADIT for True-Up</t>
  </si>
  <si>
    <t>from ADIT BOY</t>
  </si>
  <si>
    <t xml:space="preserve">and ADIT EOY </t>
  </si>
  <si>
    <t>workpapers</t>
  </si>
  <si>
    <t>ADIT BOY Worksheet</t>
  </si>
  <si>
    <t>Page 1 of 3</t>
  </si>
  <si>
    <t>Only</t>
  </si>
  <si>
    <t>a</t>
  </si>
  <si>
    <t>(From line 5 for the column)</t>
  </si>
  <si>
    <t>b</t>
  </si>
  <si>
    <t>(From line 17 for the column)</t>
  </si>
  <si>
    <t>c</t>
  </si>
  <si>
    <t>(From line 29 for the column)</t>
  </si>
  <si>
    <t>d</t>
  </si>
  <si>
    <t>Subtotal</t>
  </si>
  <si>
    <t>(Sum a - c)</t>
  </si>
  <si>
    <t>In filling out this attachment, a full and complete description of each item and justification for the allocation to Columns C-F and each separate ADIT item will be listed. Dissimilar items</t>
  </si>
  <si>
    <t>with amounts exceeding $100,000 will be listed separately.</t>
  </si>
  <si>
    <t>Gas, Prod</t>
  </si>
  <si>
    <t>Retail Or Other</t>
  </si>
  <si>
    <t xml:space="preserve">Plant </t>
  </si>
  <si>
    <t>Justification</t>
  </si>
  <si>
    <t>1a</t>
  </si>
  <si>
    <t>1b</t>
  </si>
  <si>
    <t>1c</t>
  </si>
  <si>
    <t>1d</t>
  </si>
  <si>
    <t>1e</t>
  </si>
  <si>
    <t>1f</t>
  </si>
  <si>
    <t>1g</t>
  </si>
  <si>
    <t>1h</t>
  </si>
  <si>
    <t>1i</t>
  </si>
  <si>
    <t>1j</t>
  </si>
  <si>
    <t>1k</t>
  </si>
  <si>
    <t>1l</t>
  </si>
  <si>
    <t>1m</t>
  </si>
  <si>
    <t>1n</t>
  </si>
  <si>
    <t>1o</t>
  </si>
  <si>
    <t>1p</t>
  </si>
  <si>
    <t>1q</t>
  </si>
  <si>
    <t>1r</t>
  </si>
  <si>
    <t>1s</t>
  </si>
  <si>
    <t>1t</t>
  </si>
  <si>
    <t>1u</t>
  </si>
  <si>
    <t>1v</t>
  </si>
  <si>
    <t>1w</t>
  </si>
  <si>
    <t>1x</t>
  </si>
  <si>
    <t>1y</t>
  </si>
  <si>
    <t>1z</t>
  </si>
  <si>
    <t>1aa</t>
  </si>
  <si>
    <t>1ab</t>
  </si>
  <si>
    <t>1ac</t>
  </si>
  <si>
    <t>1ad</t>
  </si>
  <si>
    <t>1ae</t>
  </si>
  <si>
    <t>1af</t>
  </si>
  <si>
    <t>1ag</t>
  </si>
  <si>
    <t>1ah</t>
  </si>
  <si>
    <t>1ai</t>
  </si>
  <si>
    <t>1aj</t>
  </si>
  <si>
    <t>1ak</t>
  </si>
  <si>
    <t>1al</t>
  </si>
  <si>
    <t>1am</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</si>
  <si>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</si>
  <si>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</si>
  <si>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</si>
  <si>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</si>
  <si>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</si>
  <si>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other than general plant, intangible plant or common plant and not in Columns C &amp; D are included in Column E</t>
  </si>
  <si>
    <t>4.  ADIT items related to labor, general plant, intangible plant, or common plant and not in Columns C &amp; D are included in Column F</t>
  </si>
  <si>
    <t xml:space="preserve">5. Deferred income taxes arise when items are included in taxable income in different periods than they are included in rates, therefore if the item giving rise to the ADIT is not included in the formula, </t>
  </si>
  <si>
    <t>the associated ADIT amount shall be excluded</t>
  </si>
  <si>
    <t>Page 2 of 3</t>
  </si>
  <si>
    <t>13a</t>
  </si>
  <si>
    <t>13b</t>
  </si>
  <si>
    <t>13c</t>
  </si>
  <si>
    <t>13d</t>
  </si>
  <si>
    <t>13e</t>
  </si>
  <si>
    <t>13f</t>
  </si>
  <si>
    <t>13g</t>
  </si>
  <si>
    <t>13h</t>
  </si>
  <si>
    <t>Instructions for Account 282:</t>
  </si>
  <si>
    <t>Page 3 of 3</t>
  </si>
  <si>
    <t>25a</t>
  </si>
  <si>
    <t>25b</t>
  </si>
  <si>
    <t>25c</t>
  </si>
  <si>
    <t>25d</t>
  </si>
  <si>
    <t>25e</t>
  </si>
  <si>
    <t>25f</t>
  </si>
  <si>
    <t>25g</t>
  </si>
  <si>
    <t>25h</t>
  </si>
  <si>
    <t>25i</t>
  </si>
  <si>
    <t>25j</t>
  </si>
  <si>
    <t>25k</t>
  </si>
  <si>
    <t>25l</t>
  </si>
  <si>
    <t>25m</t>
  </si>
  <si>
    <t>25n</t>
  </si>
  <si>
    <t>25o</t>
  </si>
  <si>
    <t>25p</t>
  </si>
  <si>
    <t>25q</t>
  </si>
  <si>
    <t>25r</t>
  </si>
  <si>
    <t>25s</t>
  </si>
  <si>
    <t>25t</t>
  </si>
  <si>
    <t>25u</t>
  </si>
  <si>
    <t>25v</t>
  </si>
  <si>
    <t>25w</t>
  </si>
  <si>
    <t>25x</t>
  </si>
  <si>
    <t>25y</t>
  </si>
  <si>
    <t>25z</t>
  </si>
  <si>
    <t>….</t>
  </si>
  <si>
    <t>Instructions for Account 283:</t>
  </si>
  <si>
    <t>ADIT EOY Worksheet</t>
  </si>
  <si>
    <t>Account 454 - Rent from Electric Property</t>
  </si>
  <si>
    <t>Schedule 1A</t>
  </si>
  <si>
    <t>PJM Transitional Revenue Neutrality (Note 1)</t>
  </si>
  <si>
    <t>PJM Transitional Market Expansion (Note 1)</t>
  </si>
  <si>
    <t>Revenues from Directly Assigned Transmission Facility Charges (Note 2)</t>
  </si>
  <si>
    <t>Gross Revenue Credits</t>
  </si>
  <si>
    <t>Total Rent Revenues</t>
  </si>
  <si>
    <t>Professional Services (Note 3)</t>
  </si>
  <si>
    <t>Rent or Attachment Fees associated with Transmission Facilities (Note 3)</t>
  </si>
  <si>
    <t>Less line 17g</t>
  </si>
  <si>
    <t>Total Revenue Credits</t>
  </si>
  <si>
    <t>Revenue Adjustment to determine Revenue Credit</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</si>
  <si>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t>
  </si>
  <si>
    <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</si>
  <si>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17a</t>
  </si>
  <si>
    <t>Revenues included in lines 1-11 which are subject to 50/50 sharing.</t>
  </si>
  <si>
    <t>17b</t>
  </si>
  <si>
    <t>Costs associated with revenues in line 17a</t>
  </si>
  <si>
    <t>17c</t>
  </si>
  <si>
    <t>Net Revenues  (17a - 17b)</t>
  </si>
  <si>
    <t>17d</t>
  </si>
  <si>
    <t>50% Share of Net Revenues  (17c / 2)</t>
  </si>
  <si>
    <t>17e</t>
  </si>
  <si>
    <t>Costs associated with revenues in line 17a that are included in FERC accounts recovered through the formula times the allocator used to functionalize the amounts in the FERC account to the transmission service at issue.</t>
  </si>
  <si>
    <t>17f</t>
  </si>
  <si>
    <t>Net Revenue Credit (17d + 17e)</t>
  </si>
  <si>
    <t>17g</t>
  </si>
  <si>
    <t>Line 17f less line 17a</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</si>
  <si>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</si>
  <si>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Total Account 454, 456 and 456.1</t>
  </si>
  <si>
    <t>Cost Item</t>
  </si>
  <si>
    <t>22a</t>
  </si>
  <si>
    <t>22b</t>
  </si>
  <si>
    <t>Total Lines 22</t>
  </si>
  <si>
    <t>(line 1 minus line 2)</t>
  </si>
  <si>
    <t>Attachment 5A - Revenue Credit Workpaper</t>
  </si>
  <si>
    <t>Attachment 5B - A&amp;G Workpaper</t>
  </si>
  <si>
    <t>Attachment 4D - Intangible Plant Workpaper</t>
  </si>
  <si>
    <t>27a</t>
  </si>
  <si>
    <t>Pension Asset</t>
  </si>
  <si>
    <t>Pension Asset booked to Account 186</t>
  </si>
  <si>
    <t>From PJM</t>
  </si>
  <si>
    <t xml:space="preserve">  Outstanding Network Credits</t>
  </si>
  <si>
    <t>INTEREST ON NETWORK CREDITS</t>
  </si>
  <si>
    <t xml:space="preserve">  Less Accum. Deprec. associated with Facilities with Outstanding Network Credits</t>
  </si>
  <si>
    <t>Less Account 219.1 (112.15.c)  (enter negative)</t>
  </si>
  <si>
    <t>219.28.c for end of year, records for other months</t>
  </si>
  <si>
    <t xml:space="preserve">General </t>
  </si>
  <si>
    <t xml:space="preserve">Depreciation Expense - General </t>
  </si>
  <si>
    <t>336.10.b, d &amp; e</t>
  </si>
  <si>
    <t>Depreciation Expense</t>
  </si>
  <si>
    <t>Competitive Bid Concessions</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</si>
  <si>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t>
  </si>
  <si>
    <t xml:space="preserve">  will show that monthly debts and credits do not contain entries for AFUDC for each CWIP project in rate base. </t>
  </si>
  <si>
    <t>207.99.g  minus 207.98.g for end of year, records for other months</t>
  </si>
  <si>
    <t>207.58.g minus 207.57.g.  Projected monthly balances that are the amounts expected to be included in 207.58.g for end of year and records for other months (Note I)</t>
  </si>
  <si>
    <t>Old Schedule 12 Project 1</t>
  </si>
  <si>
    <t>Old Schedule 12 Project 2</t>
  </si>
  <si>
    <t>Old Schedule 12 Project 3</t>
  </si>
  <si>
    <t>Old Schedule 12 Project 4</t>
  </si>
  <si>
    <t>(Attachment 2, Line 28 /100 * Col. 11 * Col. 6)</t>
  </si>
  <si>
    <t>(1) The FERC Quarterly Interest Rate in column [A] is the interest applicable to the Month indicated.</t>
  </si>
  <si>
    <t>Month (Note A)</t>
  </si>
  <si>
    <t xml:space="preserve">Average of lines 1-17 above </t>
  </si>
  <si>
    <t>21a</t>
  </si>
  <si>
    <t>21b</t>
  </si>
  <si>
    <t>21c</t>
  </si>
  <si>
    <t>17 Months</t>
  </si>
  <si>
    <t>Line 18 above</t>
  </si>
  <si>
    <t>Col. C x Col D x Col E</t>
  </si>
  <si>
    <t>Total PBOP expenses allowed (Note A)</t>
  </si>
  <si>
    <t>Total PBOP Expenses in A&amp;G in the current year</t>
  </si>
  <si>
    <t>PBOP Adjustment</t>
  </si>
  <si>
    <t>Line 1 minus line 2</t>
  </si>
  <si>
    <t>PECO Energy Company</t>
  </si>
  <si>
    <t>Accounts 561.4 and 561.8</t>
  </si>
  <si>
    <t>321.88.b &amp; 92.b</t>
  </si>
  <si>
    <t>Total Intangible Plant</t>
  </si>
  <si>
    <t>S&amp;W Allocation</t>
  </si>
  <si>
    <t>Gross Plant Allocation</t>
  </si>
  <si>
    <t>Non-Recoverable</t>
  </si>
  <si>
    <t>Administrative and General Salaries</t>
  </si>
  <si>
    <t>Office Supplies and Expenses</t>
  </si>
  <si>
    <t>Administrative Expenses Transferred-Credit</t>
  </si>
  <si>
    <t>Outside Service Employed</t>
  </si>
  <si>
    <t>Property Insurance</t>
  </si>
  <si>
    <t>Injuries and Damages</t>
  </si>
  <si>
    <t xml:space="preserve">Employee Pensions and Benefits </t>
  </si>
  <si>
    <t>Franchise Requirements</t>
  </si>
  <si>
    <t>Duplicate Charges-Credit</t>
  </si>
  <si>
    <t>General Advertising Expenses</t>
  </si>
  <si>
    <t>Miscellaneous General Expenses</t>
  </si>
  <si>
    <t>Rents</t>
  </si>
  <si>
    <t>Maintenance of General Plant</t>
  </si>
  <si>
    <t>Administrative &amp; General - Total</t>
  </si>
  <si>
    <t>Allocation Factor</t>
  </si>
  <si>
    <t>Transmission A&amp;G</t>
  </si>
  <si>
    <t xml:space="preserve">     Less Accounts 561.4 and 561.8</t>
  </si>
  <si>
    <t>PJM Project Number or Zonal</t>
  </si>
  <si>
    <t>The Account 216.1 balance is input only if positive number in the FERC Form No. 1 (112.12.c).</t>
  </si>
  <si>
    <t>Electric</t>
  </si>
  <si>
    <t>Common</t>
  </si>
  <si>
    <t>Zero</t>
  </si>
  <si>
    <t>(except ADIT which is the amount shown on Attachment 4A)</t>
  </si>
  <si>
    <t>Attachment 4A, line 20 for the projection and line 44 for the true-up</t>
  </si>
  <si>
    <t>Attachment 4A, line 14 for the projection and line 38 for the true-up</t>
  </si>
  <si>
    <t>Attachment 4A, line 17 for the projection and line 41 for the true-up</t>
  </si>
  <si>
    <t>Attachment 4A, line 34 for the projection and line 47 for the true-up</t>
  </si>
  <si>
    <t>Attachment 4, Line 14, Col. (j)</t>
  </si>
  <si>
    <t>Attachment 4, Line 14, Col. (k)</t>
  </si>
  <si>
    <t>Attachment 4, Line 14, Col. (e)</t>
  </si>
  <si>
    <t>Less Account 216.1 (112.12.c)  (enter negative) (Note D)</t>
  </si>
  <si>
    <t xml:space="preserve">         Misc.</t>
  </si>
  <si>
    <t xml:space="preserve">Less Transmission plant excluded from PJM rates  </t>
  </si>
  <si>
    <t>Transmission plant included in PJM rates</t>
  </si>
  <si>
    <t xml:space="preserve">Percentage of Transmission plant included in PJM Rates  </t>
  </si>
  <si>
    <t>Revenues associated with transmission service not provided under the PJM OATT (Note 4)</t>
  </si>
  <si>
    <t xml:space="preserve">  General</t>
  </si>
  <si>
    <t xml:space="preserve">  Intangible</t>
  </si>
  <si>
    <t xml:space="preserve">   Account 566</t>
  </si>
  <si>
    <t xml:space="preserve">   PBOP Adjustment</t>
  </si>
  <si>
    <t>FERC Account</t>
  </si>
  <si>
    <t>O&amp;M Cost to Achieve Included in O&amp;M Above</t>
  </si>
  <si>
    <t>O&amp;M Cost To Achieve</t>
  </si>
  <si>
    <t>Constellation Merger</t>
  </si>
  <si>
    <t>PHI Merger</t>
  </si>
  <si>
    <t>b0269</t>
  </si>
  <si>
    <t>b0287</t>
  </si>
  <si>
    <t>b1591</t>
  </si>
  <si>
    <t>b0269.6</t>
  </si>
  <si>
    <t>b0171.1</t>
  </si>
  <si>
    <t>b1590.1</t>
  </si>
  <si>
    <t>b1398.8</t>
  </si>
  <si>
    <t>b1398.13 (b2572)</t>
  </si>
  <si>
    <t>b1398.6 (b1590.1 &amp; 1590.2)</t>
  </si>
  <si>
    <t>b0727</t>
  </si>
  <si>
    <t>b2140</t>
  </si>
  <si>
    <t>b1182</t>
  </si>
  <si>
    <t>b1717</t>
  </si>
  <si>
    <t>b1178</t>
  </si>
  <si>
    <t>b0790</t>
  </si>
  <si>
    <t>b0506</t>
  </si>
  <si>
    <t>b0505</t>
  </si>
  <si>
    <t>b0789</t>
  </si>
  <si>
    <t>b0206</t>
  </si>
  <si>
    <t>b0207</t>
  </si>
  <si>
    <t>b0208</t>
  </si>
  <si>
    <t>b0209</t>
  </si>
  <si>
    <t>b0264</t>
  </si>
  <si>
    <t>b0357</t>
  </si>
  <si>
    <t>Old Schedule 12 Project 5</t>
  </si>
  <si>
    <t>Old Schedule 12 Project 6</t>
  </si>
  <si>
    <t>Old Schedule 12 Project 7</t>
  </si>
  <si>
    <t>Old Schedule 12 Project 8</t>
  </si>
  <si>
    <t>Old Schedule 12 Project 9</t>
  </si>
  <si>
    <t>Old Schedule 12 Project 11</t>
  </si>
  <si>
    <t>Old Schedule 12 Project 12</t>
  </si>
  <si>
    <t>Old Schedule 12 Project 13</t>
  </si>
  <si>
    <t>Old Schedule 12 Project 14</t>
  </si>
  <si>
    <t>Old Schedule 12 Project 15</t>
  </si>
  <si>
    <t>Old Schedule 12 Project 16</t>
  </si>
  <si>
    <t>Old Schedule 12 Project 17</t>
  </si>
  <si>
    <t>Old Schedule 12 Project 18</t>
  </si>
  <si>
    <t>Old Schedule 12 Project 19</t>
  </si>
  <si>
    <t>Old Schedule 12 Project 20</t>
  </si>
  <si>
    <t>Old Schedule 12 Project 22</t>
  </si>
  <si>
    <t>Old Schedule 12 Project 23</t>
  </si>
  <si>
    <t>Old Schedule 12 Project 24</t>
  </si>
  <si>
    <t>Old Schedule 12 Project 25</t>
  </si>
  <si>
    <t>Old Schedule 12 Project 26</t>
  </si>
  <si>
    <t>Old Schedule 12 Project 27</t>
  </si>
  <si>
    <t>17h</t>
  </si>
  <si>
    <t>17i</t>
  </si>
  <si>
    <t>17j</t>
  </si>
  <si>
    <t>17k</t>
  </si>
  <si>
    <t>17l</t>
  </si>
  <si>
    <t>17m</t>
  </si>
  <si>
    <t>17o</t>
  </si>
  <si>
    <t>17p</t>
  </si>
  <si>
    <t>17q</t>
  </si>
  <si>
    <t>17r</t>
  </si>
  <si>
    <t>17s</t>
  </si>
  <si>
    <t>17u</t>
  </si>
  <si>
    <t>17v</t>
  </si>
  <si>
    <t>17w</t>
  </si>
  <si>
    <t>17x</t>
  </si>
  <si>
    <t>17y</t>
  </si>
  <si>
    <t>Attachment 1, line 17a, col. 15</t>
  </si>
  <si>
    <t>Attachment 1, line 17a, col. 16</t>
  </si>
  <si>
    <t>Attachment 1, line 18, col. 13</t>
  </si>
  <si>
    <t>(Sum of Lines 43 through 45)</t>
  </si>
  <si>
    <t>(Sum of Lines 26, 40, 41 &amp; 46)</t>
  </si>
  <si>
    <t>(Line 7 plus Line 8) Ties to 321.97.b</t>
  </si>
  <si>
    <t>Depreciation Expense - Common</t>
  </si>
  <si>
    <t>WCLTD = Page 4, Line 19</t>
  </si>
  <si>
    <t>(Attachment 5, line 10    Notes Q &amp; R)</t>
  </si>
  <si>
    <t>(Attachment 5, line 11   Notes Q &amp; R)</t>
  </si>
  <si>
    <t>(Attachment 5, line 12  Notes K, Q &amp; R)</t>
  </si>
  <si>
    <t>Cash Working Capital assigned to transmission is one-eighth of O&amp;M allocated to transmission at page 3, line 12, column 5 minus amortization of Regulatory Asset at page 3, line 7, column 5.  Prepayments are the electric related prepayments booked to Account No. 165 and reported on pages 111, line 57 in the Form 1.</t>
  </si>
  <si>
    <t>Regulatory Commission Expenses (Note E)</t>
  </si>
  <si>
    <t xml:space="preserve">Page 3, Line 5 - EPRI Annual Membership Dues listed in Form 1 at 353.f, all Regulatory Commission Expenses itemized at 351.h, and non-safety related advertising included in Account 930.1 found at 323.191.b. Attachment 5B, Line 9-Regulatory Commission Expenses directly related to transmission service, ISO filings, or transmission siting itemized at 351.h. </t>
  </si>
  <si>
    <t>Zonal on line 17a refers to all projects not qualifying for regional recovery</t>
  </si>
  <si>
    <t>Long Term Debt balance will reflect the 13 month average of the balances, of which the 1st and 13th are found on page 112 lines 18.c &amp; d to 21.c &amp; d in the Form No. 1, the cost is calculated by dividing line 3 by the Long Term Debt balance in line 10.</t>
  </si>
  <si>
    <t>Common Stock balance will reflect the 13 month average of the balances, of which the 1st and 13th are found on page 112 lines 3.c &amp; d,  12.c &amp; d, and 16.c &amp; d in the Form No. 1 as shown on lines 10-12 above</t>
  </si>
  <si>
    <t>Calculated on Attachment 4A.</t>
  </si>
  <si>
    <t>PECO Total</t>
  </si>
  <si>
    <t>Account 456 &amp; 456.1 - Other Electric Revenues (Note 1)</t>
  </si>
  <si>
    <t xml:space="preserve">Unfunded Reserves are customer contributed capital such as when Injuries and Damages expense is accrued but not yet incurred.  Also, pursuant to Special Instructions to Accounts 228.1 through 228.4, </t>
  </si>
  <si>
    <t>Attachment 3, Col. G + Col H</t>
  </si>
  <si>
    <t>Attachment 4, Line 14, Col. (g)</t>
  </si>
  <si>
    <t>Gross Plant</t>
  </si>
  <si>
    <t>Distribution</t>
  </si>
  <si>
    <t>(m)</t>
  </si>
  <si>
    <t>(n)</t>
  </si>
  <si>
    <t>(o)</t>
  </si>
  <si>
    <t>(p)</t>
  </si>
  <si>
    <t>(q)</t>
  </si>
  <si>
    <t>(r)</t>
  </si>
  <si>
    <t>Net Plant in Service</t>
  </si>
  <si>
    <t>Total Intangible - Transmission</t>
  </si>
  <si>
    <t>(s)</t>
  </si>
  <si>
    <t>=average(b:n)</t>
  </si>
  <si>
    <t>=sum(p:r))</t>
  </si>
  <si>
    <t xml:space="preserve">  Pension Asset</t>
  </si>
  <si>
    <t>(Sum Lines 2, 4-10)</t>
  </si>
  <si>
    <t>16a</t>
  </si>
  <si>
    <t>16b</t>
  </si>
  <si>
    <t>16c</t>
  </si>
  <si>
    <t>Consistent with 266.8.b, 266.17.b, 267.8.h &amp; 267.17.h</t>
  </si>
  <si>
    <t>Electric Transmission</t>
  </si>
  <si>
    <t xml:space="preserve">Electric Distribution </t>
  </si>
  <si>
    <t>Electric Other</t>
  </si>
  <si>
    <t xml:space="preserve">Electric Production </t>
  </si>
  <si>
    <t>323.181.b to 323.196.b</t>
  </si>
  <si>
    <t>336.11.b, d &amp; e</t>
  </si>
  <si>
    <t>Other Payroll Related</t>
  </si>
  <si>
    <t>Other (capital stock, use taxes, etc.)</t>
  </si>
  <si>
    <t>266.8.f &amp; 266.17.f</t>
  </si>
  <si>
    <t>Amortized Investment Tax Credit Consistent with (266.8.f &amp; 266.17.f)</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</si>
  <si>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and by department the revenues and costs associated with each secondary use (except for the cost of the associated income taxes). The cost associated with the secondary transmission use is 3/4 of the total department costs.</t>
  </si>
  <si>
    <t>Accounts booked to</t>
  </si>
  <si>
    <t>3d</t>
  </si>
  <si>
    <t>3e</t>
  </si>
  <si>
    <t>3f</t>
  </si>
  <si>
    <t>3g</t>
  </si>
  <si>
    <t>3h</t>
  </si>
  <si>
    <t>3i</t>
  </si>
  <si>
    <t>3j</t>
  </si>
  <si>
    <t>3k</t>
  </si>
  <si>
    <t>3l</t>
  </si>
  <si>
    <t>3m</t>
  </si>
  <si>
    <t>3o</t>
  </si>
  <si>
    <t>3p</t>
  </si>
  <si>
    <t>3q</t>
  </si>
  <si>
    <t>3r</t>
  </si>
  <si>
    <t>3s</t>
  </si>
  <si>
    <t>3u</t>
  </si>
  <si>
    <t>3v</t>
  </si>
  <si>
    <t>3w</t>
  </si>
  <si>
    <t>3x</t>
  </si>
  <si>
    <t>3y</t>
  </si>
  <si>
    <t>3z</t>
  </si>
  <si>
    <t>(Sum Lines 1 to 3)</t>
  </si>
  <si>
    <t>Rent from Electric Property - Transmission Related, Subject to Sharing (Note 3)</t>
  </si>
  <si>
    <t>Rent from Electric Property - Transmission Related, Pass to Customers (Note 3)</t>
  </si>
  <si>
    <t>Intercompany Professional Services</t>
  </si>
  <si>
    <t>Total Amount</t>
  </si>
  <si>
    <t>Transmission Costs</t>
  </si>
  <si>
    <t>Total Costs</t>
  </si>
  <si>
    <t>S&amp;W Allocation Factor</t>
  </si>
  <si>
    <t>Costs Recovered Through A&amp;G Costs</t>
  </si>
  <si>
    <t>FERC Account 454</t>
  </si>
  <si>
    <t>Network Integration Credit</t>
  </si>
  <si>
    <t>Transmission Owner Scheduling Credits</t>
  </si>
  <si>
    <t>Revenue - Firm Point to Point</t>
  </si>
  <si>
    <t>Other</t>
  </si>
  <si>
    <t>100% Transmission</t>
  </si>
  <si>
    <t>Plant Related</t>
  </si>
  <si>
    <t>Labor Related</t>
  </si>
  <si>
    <t>Rent from Electric Distribution</t>
  </si>
  <si>
    <t>Rent from Electric Transmission</t>
  </si>
  <si>
    <t>Intercompany Rent</t>
  </si>
  <si>
    <t>Allocation Factors</t>
  </si>
  <si>
    <t>Allocated Amount</t>
  </si>
  <si>
    <t>FERC Account 456</t>
  </si>
  <si>
    <t>Decommissioning remittances to Generation</t>
  </si>
  <si>
    <t>Make Ready</t>
  </si>
  <si>
    <t>Intercompany Billings</t>
  </si>
  <si>
    <t>FERC Account 456.1</t>
  </si>
  <si>
    <t>24a</t>
  </si>
  <si>
    <t>24b</t>
  </si>
  <si>
    <t>24c</t>
  </si>
  <si>
    <t>24d</t>
  </si>
  <si>
    <t>Total  Lines 24</t>
  </si>
  <si>
    <t>Total  Lines 25</t>
  </si>
  <si>
    <t>Total  Lines 26</t>
  </si>
  <si>
    <t>26a</t>
  </si>
  <si>
    <t>26b</t>
  </si>
  <si>
    <t>26c</t>
  </si>
  <si>
    <t>26d</t>
  </si>
  <si>
    <t>Electric General</t>
  </si>
  <si>
    <t>214.17,d, 214.20,d and 214.22,d for end of year, records for other months</t>
  </si>
  <si>
    <t>Project Depreciation Expense is the actual value booked for the project and included in the Depreciation Expense in Attachment H, page 3, line 14.  Project Depreciation Expense includes the amortization of Abandoned Plant</t>
  </si>
  <si>
    <t>227. 8. c + (227.16.c * Labor Ratio) for end of year, records for other months</t>
  </si>
  <si>
    <t xml:space="preserve">  Common - Electric</t>
  </si>
  <si>
    <t>Not Subject to Proration</t>
  </si>
  <si>
    <t>FERC Monthly Interest Rate</t>
  </si>
  <si>
    <t>Col. (b) x Electric Labor in Note B</t>
  </si>
  <si>
    <t>Attachment H-7</t>
  </si>
  <si>
    <t>To be completed in conjunction with Attachment H-7.</t>
  </si>
  <si>
    <t xml:space="preserve"> in Attachment H-7 that are not the result of a timing difference</t>
  </si>
  <si>
    <t>(…)</t>
  </si>
  <si>
    <t>Depreciation (Monthly Change of Accumulated Depreciation from above)</t>
  </si>
  <si>
    <t>Prior Period Adjustments</t>
  </si>
  <si>
    <t xml:space="preserve">Total ADIT </t>
  </si>
  <si>
    <t>For  the 12 months ended 12/31/2017</t>
  </si>
  <si>
    <t>(x)</t>
  </si>
  <si>
    <t>Net Plant = Gross Plant Minus Accumulated Depreciation from above</t>
  </si>
  <si>
    <t>Costs Allocation to Transmission   (Note A)</t>
  </si>
  <si>
    <t>Firm Point to Point Service revenues for which the load is not included in the divisor received by transmission owner</t>
  </si>
  <si>
    <t>Portion not Capitalized</t>
  </si>
  <si>
    <t xml:space="preserve">The source of the amounts from the Actuary Study supporting the amount in line 1, column (b) is the 3rd page of the attachment to </t>
  </si>
  <si>
    <t>Electric Labor (354.28.b)</t>
  </si>
  <si>
    <t>Gas Labor sum(355.62.b)</t>
  </si>
  <si>
    <t>the January 24, 2017 Willis Towers Watson report on PBOPs for PECO.</t>
  </si>
  <si>
    <t>The January 24, 2017 Willis Towers Watson report on PBOPs does not breakout the amount related to construction labor that is capitalized.</t>
  </si>
  <si>
    <t>As a result the portion not capitalized as calculated as labor expensed divided by  total labor.</t>
  </si>
  <si>
    <t>Less Preferred Stock (112.3.c )</t>
  </si>
  <si>
    <t>(A)</t>
  </si>
  <si>
    <t>(B)</t>
  </si>
  <si>
    <t>(C)</t>
  </si>
  <si>
    <t>(D)</t>
  </si>
  <si>
    <t>(E)</t>
  </si>
  <si>
    <t>(F)</t>
  </si>
  <si>
    <t>(G)</t>
  </si>
  <si>
    <t>(H)</t>
  </si>
  <si>
    <t>(I)</t>
  </si>
  <si>
    <t>(J)</t>
  </si>
  <si>
    <t>Gross Depreciable</t>
  </si>
  <si>
    <t>Accumulated</t>
  </si>
  <si>
    <t>Depreciation</t>
  </si>
  <si>
    <t>Estimated</t>
  </si>
  <si>
    <t>Mortality</t>
  </si>
  <si>
    <t>Weighted Average</t>
  </si>
  <si>
    <t>Applied</t>
  </si>
  <si>
    <t>Expense</t>
  </si>
  <si>
    <t>Number</t>
  </si>
  <si>
    <t>Plant Type</t>
  </si>
  <si>
    <t>Life</t>
  </si>
  <si>
    <t>Curve</t>
  </si>
  <si>
    <t>Remaining Life</t>
  </si>
  <si>
    <t>Depreciation Rate</t>
  </si>
  <si>
    <t>Structures and Improvements</t>
  </si>
  <si>
    <t>R2.5</t>
  </si>
  <si>
    <t>Station Equipment</t>
  </si>
  <si>
    <t>Towers and Fixtures</t>
  </si>
  <si>
    <t>R4</t>
  </si>
  <si>
    <t>Poles and Fixtures</t>
  </si>
  <si>
    <t>Overhead Conductors and Devices</t>
  </si>
  <si>
    <t>Underground Conduit</t>
  </si>
  <si>
    <t>Underground Conductors and Devices</t>
  </si>
  <si>
    <t>R3</t>
  </si>
  <si>
    <t>Roads and Trails</t>
  </si>
  <si>
    <t>R1</t>
  </si>
  <si>
    <t>Office Furniture and Equipment - Office Machines</t>
  </si>
  <si>
    <t>SQ</t>
  </si>
  <si>
    <t>Office Furniture and Equipment - Furnitures and Fixtures</t>
  </si>
  <si>
    <t>Office Furniture and Equipment - Computers</t>
  </si>
  <si>
    <t>Office Furniture and Equipment - Smart Meter Comp. Equip.</t>
  </si>
  <si>
    <t>Stores Equipment</t>
  </si>
  <si>
    <t>Tools, Shop, Garage Equipment</t>
  </si>
  <si>
    <t>Laboratory Equipment - Testing</t>
  </si>
  <si>
    <t>Laboratory Equipment - Meters</t>
  </si>
  <si>
    <t>Communication Equipment</t>
  </si>
  <si>
    <t>L3</t>
  </si>
  <si>
    <t>Communication Equipment - Smart Meters</t>
  </si>
  <si>
    <t>S2</t>
  </si>
  <si>
    <t>Miscellaneous Equipment</t>
  </si>
  <si>
    <t>Electric Intangible</t>
  </si>
  <si>
    <t>Software</t>
  </si>
  <si>
    <t>N/A</t>
  </si>
  <si>
    <t>Regulatory Initiatives/Depr Charged to Reg Asset</t>
  </si>
  <si>
    <t>Common General</t>
  </si>
  <si>
    <t>Transportation Equipment - Automobiles</t>
  </si>
  <si>
    <t>Transportation Equipment - Light Trucks</t>
  </si>
  <si>
    <t>L4</t>
  </si>
  <si>
    <t>Transportation Equipment - Heavy Trucks</t>
  </si>
  <si>
    <t>Transportation Equipment - Tractors</t>
  </si>
  <si>
    <t>L2</t>
  </si>
  <si>
    <t>Transportation Equipment - Trailers</t>
  </si>
  <si>
    <t>R2</t>
  </si>
  <si>
    <t>Transportation Equipment - Other Vehicles</t>
  </si>
  <si>
    <t>Tools, Shop, Garage Equipment - Construction Tools</t>
  </si>
  <si>
    <t>Tools, Shop, Garage Equipment - Common Tools</t>
  </si>
  <si>
    <t>Tools, Shop, Garage Equipment - Garage Equipment</t>
  </si>
  <si>
    <t>Power Operated Equipment</t>
  </si>
  <si>
    <t>Columns (A), (B), (C), and (D) are fixed and cannot be changed absent Commission approval or acceptance. The depreciation expense is calculated separately for each row.</t>
  </si>
  <si>
    <t xml:space="preserve">Each year, PECO Energy Company will provide a copy of the annual report submitted to the PA PUC and underlying supporting documentation that shows the depreciation expense recognized by account or subaccount for each of the three preceding calendar years. </t>
  </si>
  <si>
    <t>At least every 5 years, PECO Energy Company will file with the Commission a depreciation study supporting its existing Estimated Life and Mortality Curve for each account or subaccount.</t>
  </si>
  <si>
    <t>Attachment 8 - Depreciation Rates</t>
  </si>
  <si>
    <t>=sum(c:e))</t>
  </si>
  <si>
    <t>Net Depreciable</t>
  </si>
  <si>
    <t>Note 2</t>
  </si>
  <si>
    <t>(F) = (J)/(I)</t>
  </si>
  <si>
    <t>(I)=(G)-(H)</t>
  </si>
  <si>
    <t>Note 10</t>
  </si>
  <si>
    <t>Column (F) is equal to Column (J) / Column (I).</t>
  </si>
  <si>
    <t>Column (I) is the end of year depreciable net plant in the account or subaccount.</t>
  </si>
  <si>
    <t xml:space="preserve">Column (J) is equal to depreciation expense as reported in the annual FERC Form No. 1 filing on page 336 (Electric). Annual depreciation expense is determined by multiplying the beginning of the month net plant balance plus additions (using a half month convention for the first month placed in service) by the remaining life rate divided by 12 for each month. </t>
  </si>
  <si>
    <t xml:space="preserve">The depreciation expense associated with Asset Retirement Obligations (booked to accounts 359.1 and 399.1) are not included in the tables above. </t>
  </si>
  <si>
    <t>Subtotal - p234.8.c</t>
  </si>
  <si>
    <t>Subtotal - p234.8.b</t>
  </si>
  <si>
    <t>Subtotal - p275.2.k</t>
  </si>
  <si>
    <t>Subtotal - p275.2.b</t>
  </si>
  <si>
    <t xml:space="preserve">Subtotal - p277.9.k </t>
  </si>
  <si>
    <t>Subtotal - p276.9.b</t>
  </si>
  <si>
    <t>Attachment 4A</t>
  </si>
  <si>
    <t>Attachment 4B</t>
  </si>
  <si>
    <t>Attachment 4C</t>
  </si>
  <si>
    <t>Attachment 1, line 18, col. 14 - Attachment 1, line 17a, col. 14</t>
  </si>
  <si>
    <t>Attachment 1, line 18, col. 15 - Attachment 1, line 17a, col. 15</t>
  </si>
  <si>
    <t>Attachment 1, line 18, col. 16 - Attachment 1, line 17a, col. 16</t>
  </si>
  <si>
    <t>Attachment 4D, Line 19, Col. (s) and Line 21, Col. (s)</t>
  </si>
  <si>
    <t>Attachment 4, Line 14, Col. (d)</t>
  </si>
  <si>
    <t>(enter negative) Attach. 4E, Line 25, Col. (x)</t>
  </si>
  <si>
    <t>(Sum of Lines 1 through 7)</t>
  </si>
  <si>
    <t>Attachment 4D, Line 40, Col. (s) and Line 42, Col. (s)</t>
  </si>
  <si>
    <t>(enter negative) Attach. 4E, Line 39, Col. (x)</t>
  </si>
  <si>
    <t>(Sum of Lines 10 through 16)</t>
  </si>
  <si>
    <t>(Sum of Lines 19 through 25)</t>
  </si>
  <si>
    <t>Attachment 4, Line 28, Col. (d) (Notes B and X)</t>
  </si>
  <si>
    <t>Attachment 4, Line 28, Col. (e) (Notes B and X)</t>
  </si>
  <si>
    <t>Attachment 4, Line 28, Col. (f) (Notes B and X)</t>
  </si>
  <si>
    <t>Attachment 4, Line 28, Col. (g) (Notes B and X)</t>
  </si>
  <si>
    <t>Attachment 4, Line 28, Col. (i)</t>
  </si>
  <si>
    <t>Attachment 4, Line 28, Col. (b) (Note T)</t>
  </si>
  <si>
    <t>Attachment 4, Line 28, Col. (c) (Note S)</t>
  </si>
  <si>
    <t>(Sum of Lines 28 through 39)</t>
  </si>
  <si>
    <t>1/8*(Page 3, Line 12 minus Page 3, Line 7)</t>
  </si>
  <si>
    <t>Attachment 5, Line 1, Col. (a)</t>
  </si>
  <si>
    <t xml:space="preserve">Attachment 5, Line 1, Col. (b) </t>
  </si>
  <si>
    <t>Attachment 5, Line 1, Col. (c)</t>
  </si>
  <si>
    <t xml:space="preserve">Attachment 5, Line 1, Col. (d) </t>
  </si>
  <si>
    <t>(Note T) Attachment 5, Line 1, Col. (e)</t>
  </si>
  <si>
    <t>Attachment 5, Line 1, Col .(f)</t>
  </si>
  <si>
    <t>Attachment 4F, Line 11, Col. (m)</t>
  </si>
  <si>
    <t>Attachment 5, Line 1, Col. (g)</t>
  </si>
  <si>
    <t>Attachment 5, Line 2, Col. (a)</t>
  </si>
  <si>
    <t>Attachment 5, Line 1, Col. (h)</t>
  </si>
  <si>
    <t>(Note S) Attachment 5, Line 2, Col. (b)</t>
  </si>
  <si>
    <t xml:space="preserve">Attachment 5B, Line 15, Col. (e) and Line 17, Col. (e)   </t>
  </si>
  <si>
    <t>Attachment 7, line 3, Col. (d)</t>
  </si>
  <si>
    <t>(Sum of Lines 1, 5, 9, &amp; 10 less Lines 2, 3, 4 &amp; 11)</t>
  </si>
  <si>
    <t>Attachment 4D, Line 82, Col. (f) and Line 84, Col. (f)</t>
  </si>
  <si>
    <t>(enter negative) Attachment 4E, Line 66, Col (x)</t>
  </si>
  <si>
    <t>Attachment 5, Line 2, Col. (c)</t>
  </si>
  <si>
    <t>Attachment 5, Line 2, Col. (d)</t>
  </si>
  <si>
    <t>Attachment 5, Line 2, Co.l (e)</t>
  </si>
  <si>
    <t>Attachment 5, Line 2, Col. (f)</t>
  </si>
  <si>
    <t>Attachment 5, Line 2, Col. (g)</t>
  </si>
  <si>
    <t>Attachment 5, Line 2, Col. (h)</t>
  </si>
  <si>
    <t>(enter negative) Attachment 5, Line 2, Col. (j)</t>
  </si>
  <si>
    <t>Attachment 5, Line 2, Col. (k) (Note W)</t>
  </si>
  <si>
    <t>(enter negative) Attachment 5, Line 2, Col. (i)</t>
  </si>
  <si>
    <t>(Attachment 5, line 13)</t>
  </si>
  <si>
    <t>Attach H-7, p 2, line 2 col 5  (Note A)</t>
  </si>
  <si>
    <t>Attach H-7, p 2, line 20 col 5 plus line 34 &amp; 37 col 5 (Note B)</t>
  </si>
  <si>
    <t>Attach H-7, p 3, line 12 col 5</t>
  </si>
  <si>
    <t>Attach H-7, p 3, line 30 col 5</t>
  </si>
  <si>
    <t>Attach H-7, p 1, line 2 col 5</t>
  </si>
  <si>
    <t>Attach H-7, p 3, line 45 col 5</t>
  </si>
  <si>
    <t>Attach H-7, p 3, line 47 col 5</t>
  </si>
  <si>
    <t>Attach H-7, p 3, lines 15 to 18, col 5 (Note H)</t>
  </si>
  <si>
    <t>(Attachment H-7, Notes Q and R)</t>
  </si>
  <si>
    <t>(Attachment H-7, Notes K, Q and R)</t>
  </si>
  <si>
    <t xml:space="preserve">Attachment H-7, Page 2 line 47, Col.5 </t>
  </si>
  <si>
    <t>Attachment H-7, Page 3, Line 38</t>
  </si>
  <si>
    <t>Attachment H-7, Page 3, Line 39</t>
  </si>
  <si>
    <t>Attachment H-7, Page 3, Line 40</t>
  </si>
  <si>
    <t>Return    (Attach. H-7, page 3 line 47 col 5)</t>
  </si>
  <si>
    <t>Income Tax    (Attach. H-7, page 3 line 45 col 5)</t>
  </si>
  <si>
    <t>All transmission facilities reflected in the revenue requirement on Attachment H-7, page 1 line 3 are to be included in this Attachment 1.</t>
  </si>
  <si>
    <t xml:space="preserve">  Common Depreciation Expense Related to Costs To Achieve</t>
  </si>
  <si>
    <t xml:space="preserve">Recovery of Regulatory Asset is permitted only as authorized by the Commission.  Recovery of any regulatory assets requires authorization from the Commission. </t>
  </si>
  <si>
    <t xml:space="preserve">Column (E) is the remaining life of the assets in the account for each vintage (amount of plant added in each year is a vintage) weighted by the gross plant balance of each account or subaccount.  The remaining life for each vintage is equal to the area under the Mortality Curve specified in Columns (C) and (D) using a half year convention for the first year placed in service. The weighted remaining life is calculated once a year at the beginning of the year.  </t>
  </si>
  <si>
    <t>Miscellaneous</t>
  </si>
  <si>
    <t>The amortization rates for Account 303 are weighted based on the relative amount of underlying plant booked to the accounts. The life of each software or other intangible plant will be estimated at the time the plant is placed into service, and will not change over the life of the plant absent Commission approval or acceptance. The combined amortization expense for all intangible plant shall be the sum of each individual plant balance amortized over the life of each individual plant established in this manner.</t>
  </si>
  <si>
    <t>(Page 2, Line 47 times Page 4, Line 18)</t>
  </si>
  <si>
    <t>R = Page 4, Line 15</t>
  </si>
  <si>
    <t>Cost = Attachment H-7, Page 4 Line 17, Cost plus .01</t>
  </si>
  <si>
    <t>Electric Only, Form No 1, page 356 for end of year, records for other months</t>
  </si>
  <si>
    <t xml:space="preserve">  Common</t>
  </si>
  <si>
    <t>Capital Cost To Achieve included in the Electric Portion of Common Plant</t>
  </si>
  <si>
    <t xml:space="preserve">  Costs To Achieve </t>
  </si>
  <si>
    <t>Attachment 1, line 17a, col. 14 less line 2</t>
  </si>
  <si>
    <t>Column (G) is the depreciable amount of gross plant investment reported in the annual FERC Form No. 1 filing on pages 207 (Electric) and 356 (Common) by account or subaccount. Column (H) is the accumulated depreciation by account or subaccount.</t>
  </si>
  <si>
    <t xml:space="preserve">The depreciation expenses related to Common General reflect both gas and electric common plant. The depreciation expenses associated with Transportation Equipment, Garage Equipment and Power Operated Tools are excluded from Account 403 and directly assigned to the functional O&amp;M and capital accounts based on use.  </t>
  </si>
  <si>
    <t>Attachment 4E - Cost to Achieve Mergers</t>
  </si>
  <si>
    <t>Zonal Load</t>
  </si>
  <si>
    <t>1 CP from PJM in MW</t>
  </si>
  <si>
    <t xml:space="preserve">Network Integration Transmission Service rate for PECO Zone </t>
  </si>
  <si>
    <t>(line 9/11)</t>
  </si>
  <si>
    <t>Projection for the 12 months ended 12/31/2017</t>
  </si>
  <si>
    <t>True-Up for the 12 months ended 12/31/2017</t>
  </si>
  <si>
    <t>Note 4</t>
  </si>
  <si>
    <t>Note 6</t>
  </si>
  <si>
    <t>Note 1</t>
  </si>
  <si>
    <t>30x</t>
  </si>
  <si>
    <t xml:space="preserve">Note A:  Number of employees managing secondary transmission service contracts divided by number of employees managing transmission and distribution secondary service contracts. </t>
  </si>
  <si>
    <t xml:space="preserve">b1398.8 </t>
  </si>
  <si>
    <t>30g</t>
  </si>
  <si>
    <t>30h</t>
  </si>
  <si>
    <t>30i</t>
  </si>
  <si>
    <t>Tower Rentals and Land Leasing - Transmission</t>
  </si>
  <si>
    <t>Tower Rentals and Land Leasing - Distribution</t>
  </si>
  <si>
    <t>24e</t>
  </si>
  <si>
    <t>Mutual Assistance</t>
  </si>
  <si>
    <t>Transmission Enhancement</t>
  </si>
  <si>
    <t>26e</t>
  </si>
  <si>
    <t>Transportation Equipment -Medium Trucks</t>
  </si>
  <si>
    <t>Includes FASB 109 related to TCJA</t>
  </si>
  <si>
    <t>As of 12/31/2017</t>
  </si>
  <si>
    <t>FY 2017</t>
  </si>
  <si>
    <t>17n</t>
  </si>
  <si>
    <t>17t</t>
  </si>
  <si>
    <t>Book records a payroll tax accrual; tax reverses the accrual and deducts the actual amount paid out.  Relates to all functions.</t>
  </si>
  <si>
    <t xml:space="preserve">PECO is in a net operating loss situation, therefore, losses are carried forward until such losses can be applied to taxable income. </t>
  </si>
  <si>
    <t>263.3.i, 263.5.i &amp; 263.18.i</t>
  </si>
  <si>
    <t>263.35.i &amp; 263.16.i</t>
  </si>
  <si>
    <t>263.33.i</t>
  </si>
  <si>
    <t>263.14.i, &amp; 263.12.i</t>
  </si>
  <si>
    <t>263.20.i</t>
  </si>
  <si>
    <t>Center Point 500-230 kV Substation Addition</t>
  </si>
  <si>
    <t>Richmond-Waneeta 230 kV Line Re-conductor</t>
  </si>
  <si>
    <t>Whitpain 500 kV Circuit Breaker Addition</t>
  </si>
  <si>
    <t>Elroy-Hosensack 500 kV Line Rating Increase</t>
  </si>
  <si>
    <t>Camden-Richmond 230 kV Line Rating Increase</t>
  </si>
  <si>
    <t>Chichester-Linwood 230 kV Line Upgrades</t>
  </si>
  <si>
    <t>Bryn Mawr-Plymouth 138 kV Line Rebuild</t>
  </si>
  <si>
    <t>Emilie 230-138 kV Transformer Addition</t>
  </si>
  <si>
    <t>Chichester-Saville 138 kV Line Re-conductor</t>
  </si>
  <si>
    <t>Waneeta 230-138 kV Transformer Addition</t>
  </si>
  <si>
    <t>Chichester 230-138 kV Transformer Addition</t>
  </si>
  <si>
    <t>Bradford-Planebrook 230 kV Line Upgrades</t>
  </si>
  <si>
    <t>North Wales-Hartman 230 kV Line Re-conductor</t>
  </si>
  <si>
    <t>North Wales-Whitpain 230 kV Line Re-conductor</t>
  </si>
  <si>
    <t>Planebrook 230 kV Capacitor Bank Addition</t>
  </si>
  <si>
    <t>Newlinville 230 kV Capacitor Bank Addition</t>
  </si>
  <si>
    <t>Chichester-Mickleton 230 kV Series Reactor Addition</t>
  </si>
  <si>
    <t>Chichester-Mickleton 230 kV Line Re-conductor</t>
  </si>
  <si>
    <t>Buckingham-Pleasant Valley 230 kV Line Re-conductor</t>
  </si>
  <si>
    <t>Elroy 500 kV Dynamic Reactive Device</t>
  </si>
  <si>
    <t>Heaton 230 kV Capacitor Bank Addition</t>
  </si>
  <si>
    <t>b1590.1 and b1590.2 (cancelled b1398.6)</t>
  </si>
  <si>
    <t>b1900</t>
  </si>
  <si>
    <t>B0264</t>
  </si>
  <si>
    <t>Environmental Liab - Superfund</t>
  </si>
  <si>
    <t xml:space="preserve">Accrued Severance Plans </t>
  </si>
  <si>
    <t>Workers Compensation - short term</t>
  </si>
  <si>
    <t>Workers Compensation - long term</t>
  </si>
  <si>
    <t>Public claims - Short Term</t>
  </si>
  <si>
    <t>Public Claims - Long term</t>
  </si>
  <si>
    <t>Accrued Septa Railroad Rent - transmission</t>
  </si>
  <si>
    <t>ACCRUED BENEFITS</t>
  </si>
  <si>
    <t>ADDBACK OF NQSO EXPENSE</t>
  </si>
  <si>
    <t>ADDBACK OF OTHER EQUITY COMP EXPENSE</t>
  </si>
  <si>
    <t>AMORT-ORGANIZATIONAL COSTS</t>
  </si>
  <si>
    <t>BAD DEBT - CHANGE IN PROVISION</t>
  </si>
  <si>
    <t>CHARITABLE CARRYFORWARD</t>
  </si>
  <si>
    <t>CUSTOMER ADVANCES - CONSTRUCTION</t>
  </si>
  <si>
    <t>DEFERRED COMPENSATION</t>
  </si>
  <si>
    <t>DEFERRED REVENUE - CURRENT</t>
  </si>
  <si>
    <t>FAS 112</t>
  </si>
  <si>
    <t>FIN 47 ARO</t>
  </si>
  <si>
    <t xml:space="preserve">Gross Up-Bill E Credit </t>
  </si>
  <si>
    <t>INCENTIVE PAY</t>
  </si>
  <si>
    <t>INJURIES AND DAMAGE PAYMENTS</t>
  </si>
  <si>
    <t>MERGER COSTS NC</t>
  </si>
  <si>
    <t>DEFFERRED CHARGES - TAX REPAIRS BILL CREDIT-DIST</t>
  </si>
  <si>
    <t>OBSOLETE MATERIALS PROVISION</t>
  </si>
  <si>
    <t>OTHER CURRENT</t>
  </si>
  <si>
    <t>FACILITY COMMITMENT FEES</t>
  </si>
  <si>
    <t>FINES &amp; OTHER</t>
  </si>
  <si>
    <t>OTHER NONCURRENT- RAILROAD LIABILITY</t>
  </si>
  <si>
    <t>OTHER UNEARNED REVENUE-DEFERRED RENTS</t>
  </si>
  <si>
    <t>PENSION EXPENSE PROVISION</t>
  </si>
  <si>
    <t>POLE ATTACHMENT RESERVE</t>
  </si>
  <si>
    <t>POST RETIREMENT BENEFITS</t>
  </si>
  <si>
    <t>RESERVE FOR EMPLOYEE LITIGATIONS Current</t>
  </si>
  <si>
    <t>SA UNBILLED RESERVE</t>
  </si>
  <si>
    <t>SECA REFUND</t>
  </si>
  <si>
    <t>SEPTA RAILROAD RENT</t>
  </si>
  <si>
    <t>SEVERANCE PMTS CHANGE IN PROVISION</t>
  </si>
  <si>
    <t>VACATION PAY CHANGE IN PROVISION</t>
  </si>
  <si>
    <t>VEGETATION MGMT ACCRUAL</t>
  </si>
  <si>
    <t>WORKERS COMPENSATION RESERVE</t>
  </si>
  <si>
    <t>Related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</si>
  <si>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No current book activity, tax deducts as distributions are made from the trust - employees in all functions.</t>
  </si>
  <si>
    <t>Book expense recorded when stock is granted, tax expense when stock is issued at market price - employees in all functions.</t>
  </si>
  <si>
    <t>Excluded because the underlying account(s) are not included in model</t>
  </si>
  <si>
    <t>Retail bad debt. For book, expense taken as it's identified; tax deduction not taken until fully written-off and all collection efforts abandoned. Relates to retail operations.</t>
  </si>
  <si>
    <t>Book records estimated accrued compensation; tax deducts only upon the retirement or other separation from service by the employees. Relates to all functions.</t>
  </si>
  <si>
    <t>Employer provided benefits to former employees but before retirement.</t>
  </si>
  <si>
    <t>Accrual of future removal/retirements.  Book recognized the expense estimate accrual, tax recognizes when paid. Related to all functions.</t>
  </si>
  <si>
    <t>Book records an accrual in filing year on estimated payouts; tax reverses the accrual and deducts the actual paid out.  Relates to all functions.</t>
  </si>
  <si>
    <t>Books records an estimated liability for injuries and damages; tax purposes a deduction is only taken when actual payments are made.</t>
  </si>
  <si>
    <t>Debt related</t>
  </si>
  <si>
    <t>Related to reserve for required maintenance on right of ways.</t>
  </si>
  <si>
    <t>Rent expense deferred and amortized ratably for books, tax deduction when paid - used for all functions.</t>
  </si>
  <si>
    <t>Book accrues and capitalizes anticipated Pension costs based on actuarial analysis.  Tax deducts or capitalizes retirement benefits only when the amounts are paid.  Related to all functions.</t>
  </si>
  <si>
    <t xml:space="preserve">Book accrues anticipated post retirement costs based on actuarial analysis.  Tax deducts retirement benefits only when the amounts are paid or contributed to a fund. </t>
  </si>
  <si>
    <t>Related to reserves associated with ongoing and/or pending litigation.  These are not legal service fees, but accrual for possible liability payments upon resolution of ongoing litigation matters.  Since we have accrued, but not yet paid, we have to book the tax reserve.</t>
  </si>
  <si>
    <t>Retail related</t>
  </si>
  <si>
    <t>Reserve for potential transmission rent expense</t>
  </si>
  <si>
    <t>Book records an accrual; tax takes the deduction when actually paid. Relates to all functions.</t>
  </si>
  <si>
    <t>Capitalized portion of vacation pay earned and expensed for books, tax takes the deduction when paid out. Related to all functions.</t>
  </si>
  <si>
    <t>These accounts are reserves for public claims, workers compensation and other third party incidents.  For tax purposes these are not deductible until paid. Related to all functions.</t>
  </si>
  <si>
    <t>Property Related ADIT, Excl. ARO</t>
  </si>
  <si>
    <t>Included because plant in service is included in rate base.</t>
  </si>
  <si>
    <t>Related to Distribution property.</t>
  </si>
  <si>
    <t xml:space="preserve">Included because plant in service is included in rate base.  </t>
  </si>
  <si>
    <t>ACT 129 SMART METER</t>
  </si>
  <si>
    <t>AEC RECEIVABLE</t>
  </si>
  <si>
    <t>AMORT-BK-PREMIUMS ON REACQD DEBT-9.5%</t>
  </si>
  <si>
    <t xml:space="preserve">Book recapitalizes costs incurred to retire or reacquire debt issuances.  Tax deducts these costs when incurred. </t>
  </si>
  <si>
    <t>CAP FORGIVENESS REG ASSET</t>
  </si>
  <si>
    <t>CAP SHOPPING REG ASSET</t>
  </si>
  <si>
    <t>DSP 2 - REGULATORY ASSET</t>
  </si>
  <si>
    <t>ELEC RATE CASE EXP - REG ASSET</t>
  </si>
  <si>
    <t>ENERGY EFFICIENCY REG ASSET</t>
  </si>
  <si>
    <t>Gross Up on State Def Tax Adj- AMR Reg Asset</t>
  </si>
  <si>
    <t>HOLIDAY PAY CHANGE IN PROVISION</t>
  </si>
  <si>
    <t>The book expense on Jan 1 of calendar year; accelerated tax expense taken in previous calendar year. Related to all functions.</t>
  </si>
  <si>
    <t>OCI-Def FIT &amp; SIT</t>
  </si>
  <si>
    <t>OTHER CURRENT REG ASSET:</t>
  </si>
  <si>
    <t>LOSS OF REAQUIRED DEBT</t>
  </si>
  <si>
    <t>Book recapitalizes costs incurred to retire or reacquire debt issuances.  Tax deducts these costs when incurred. Included in debt capitalization ratio on Appendix A, line 111.</t>
  </si>
  <si>
    <t>VACATION ACCRUAL</t>
  </si>
  <si>
    <t>Current portion of vacation pay earned and expensed for books, tax takes the deduction when paid out. Related to all functions.</t>
  </si>
  <si>
    <t>SMART METER</t>
  </si>
  <si>
    <t>PURTA</t>
  </si>
  <si>
    <t>Property taxes. Book records on an accrual method based on the prior year; tax reverses the book accrual and deducts the actual payments made. . Relates to all functions.</t>
  </si>
  <si>
    <t>SEAMLESS MOVES</t>
  </si>
  <si>
    <t>OTHER CURRENT REG ASSET</t>
  </si>
  <si>
    <t>Gas Related</t>
  </si>
  <si>
    <t>STATE TAX RESERVE</t>
  </si>
  <si>
    <t>The state income tax is cash basis</t>
  </si>
  <si>
    <t>DEFERRED REVENUE</t>
  </si>
  <si>
    <t>FEDERAL NOL</t>
  </si>
  <si>
    <t>PAYROLL TAXES</t>
  </si>
  <si>
    <t>PENNSYLVANIA NOL</t>
  </si>
  <si>
    <t>CAP SHOPPING REG ASSET - CURRENT</t>
  </si>
  <si>
    <t>CAP FORGIVENESS REG ASSET - CURRENT</t>
  </si>
  <si>
    <t>ELEC RATE CASE EXP - REG ASSET - CURRENT</t>
  </si>
  <si>
    <t>RATE CHANGE REG ASSET</t>
  </si>
  <si>
    <t>Gross up related to non-property tax rate change/TCJA</t>
  </si>
  <si>
    <t xml:space="preserve">Intangibles - General </t>
  </si>
  <si>
    <t>IT NERC CIP - Transmission</t>
  </si>
  <si>
    <t>IT NERC CIP - Distribution</t>
  </si>
  <si>
    <t>IT DSP - Distribution</t>
  </si>
  <si>
    <t>IT BIDA - Distribution</t>
  </si>
  <si>
    <t>IT Post 2010 and Other - Distribution</t>
  </si>
  <si>
    <t>IT Smart Meter -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</si>
</sst>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quot;$&quot;#,##0.000"/>
    <numFmt numFmtId="172" formatCode="&quot;$&quot;#,##0.00"/>
    <numFmt numFmtId="173" formatCode="_(* #,##0_);_(* \(#,##0\);_(* &quot;-&quot;??_);_(@_)"/>
    <numFmt numFmtId="174" formatCode="_(&quot;$&quot;* #,##0_);_(&quot;$&quot;* \(#,##0\);_(&quot;$&quot;* &quot;-&quot;??_);_(@_)"/>
    <numFmt numFmtId="175" formatCode="0_);\(0\)"/>
    <numFmt numFmtId="176" formatCode="&quot;$&quot;#,##0.0"/>
    <numFmt numFmtId="177" formatCode="_(* #,##0.0_);_(* \(#,##0.0\);_(* &quot;-&quot;??_);_(@_)"/>
    <numFmt numFmtId="178" formatCode="#,##0.0_);\(#,##0.0\)"/>
    <numFmt numFmtId="179" formatCode="&quot;$&quot;#,##0.000_);\(&quot;$&quot;#,##0.000\)"/>
    <numFmt numFmtId="180" formatCode="&quot;$&quot;#,##0.0_);\(&quot;$&quot;#,##0.0\)"/>
    <numFmt numFmtId="181" formatCode="#,##0.000_);\(#,##0.000\)"/>
    <numFmt numFmtId="182" formatCode="_(* #,##0.0000_);_(* \(#,##0.0000\);_(* &quot;-&quot;??_);_(@_)"/>
    <numFmt numFmtId="183" formatCode="_(* #,##0.0\¢_m;[Red]_(* \-#,##0.0\¢_m;[Green]_(* 0.0\¢_m;_(@_)_%"/>
    <numFmt numFmtId="184" formatCode="_(* #,##0.00\¢_m;[Red]_(* \-#,##0.00\¢_m;[Green]_(* 0.00\¢_m;_(@_)_%"/>
    <numFmt numFmtId="185" formatCode="_(* #,##0.000\¢_m;[Red]_(* \-#,##0.000\¢_m;[Green]_(* 0.000\¢_m;_(@_)_%"/>
    <numFmt numFmtId="186" formatCode="_(_(\£* #,##0_)_%;[Red]_(\(\£* #,##0\)_%;[Green]_(_(\£* #,##0_)_%;_(@_)_%"/>
    <numFmt numFmtId="187" formatCode="_(_(\£* #,##0.0_)_%;[Red]_(\(\£* #,##0.0\)_%;[Green]_(_(\£* #,##0.0_)_%;_(@_)_%"/>
    <numFmt numFmtId="188" formatCode="_(_(\£* #,##0.00_)_%;[Red]_(\(\£* #,##0.00\)_%;[Green]_(_(\£* #,##0.00_)_%;_(@_)_%"/>
    <numFmt numFmtId="189" formatCode="0.0%_);\(0.0%\)"/>
    <numFmt numFmtId="190" formatCode="\•\ \ @"/>
    <numFmt numFmtId="191" formatCode="_(_(\•_ #0_)_%;[Red]_(_(\•_ \-#0\)_%;[Green]_(_(\•_ #0_)_%;_(_(\•_ @_)_%"/>
    <numFmt numFmtId="192" formatCode="_(_(_•_ \•_ #0_)_%;[Red]_(_(_•_ \•_ \-#0\)_%;[Green]_(_(_•_ \•_ #0_)_%;_(_(_•_ \•_ @_)_%"/>
    <numFmt numFmtId="193" formatCode="_(_(_•_ _•_ \•_ #0_)_%;[Red]_(_(_•_ _•_ \•_ \-#0\)_%;[Green]_(_(_•_ _•_ \•_ #0_)_%;_(_(_•_ \•_ @_)_%"/>
    <numFmt numFmtId="194" formatCode="#,##0,_);\(#,##0,\)"/>
    <numFmt numFmtId="195" formatCode="0.0,_);\(0.0,\)"/>
    <numFmt numFmtId="196" formatCode="0.00,_);\(0.00,\)"/>
    <numFmt numFmtId="197" formatCode="_(_(_$* #,##0.0_)_%;[Red]_(\(_$* #,##0.0\)_%;[Green]_(_(_$* #,##0.0_)_%;_(@_)_%"/>
    <numFmt numFmtId="198" formatCode="_(_(_$* #,##0.00_)_%;[Red]_(\(_$* #,##0.00\)_%;[Green]_(_(_$* #,##0.00_)_%;_(@_)_%"/>
    <numFmt numFmtId="199" formatCode="_(_(_$* #,##0.000_)_%;[Red]_(\(_$* #,##0.000\)_%;[Green]_(_(_$* #,##0.000_)_%;_(@_)_%"/>
    <numFmt numFmtId="200" formatCode="_._.* #,##0.0_)_%;_._.* \(#,##0.0\)_%;_._.* \ ?_)_%"/>
    <numFmt numFmtId="201" formatCode="_._.* #,##0.00_)_%;_._.* \(#,##0.00\)_%;_._.* \ ?_)_%"/>
    <numFmt numFmtId="202" formatCode="_._.* #,##0.000_)_%;_._.* \(#,##0.000\)_%;_._.* \ ?_)_%"/>
    <numFmt numFmtId="203" formatCode="_._.* #,##0.0000_)_%;_._.* \(#,##0.0000\)_%;_._.* \ ?_)_%"/>
    <numFmt numFmtId="204" formatCode="_(_(&quot;$&quot;* #,##0.0_)_%;[Red]_(\(&quot;$&quot;* #,##0.0\)_%;[Green]_(_(&quot;$&quot;* #,##0.0_)_%;_(@_)_%"/>
    <numFmt numFmtId="205" formatCode="_(_(&quot;$&quot;* #,##0.00_)_%;[Red]_(\(&quot;$&quot;* #,##0.00\)_%;[Green]_(_(&quot;$&quot;* #,##0.00_)_%;_(@_)_%"/>
    <numFmt numFmtId="206" formatCode="_(_(&quot;$&quot;* #,##0.000_)_%;[Red]_(\(&quot;$&quot;* #,##0.000\)_%;[Green]_(_(&quot;$&quot;* #,##0.000_)_%;_(@_)_%"/>
    <numFmt numFmtId="207" formatCode="_._.&quot;$&quot;* #,##0.0_)_%;_._.&quot;$&quot;* \(#,##0.0\)_%;_._.&quot;$&quot;* \ ?_)_%"/>
    <numFmt numFmtId="208" formatCode="_._.&quot;$&quot;* #,##0.00_)_%;_._.&quot;$&quot;* \(#,##0.00\)_%;_._.&quot;$&quot;* \ ?_)_%"/>
    <numFmt numFmtId="209" formatCode="_._.&quot;$&quot;* #,##0.000_)_%;_._.&quot;$&quot;* \(#,##0.000\)_%;_._.&quot;$&quot;* \ ?_)_%"/>
    <numFmt numFmtId="210" formatCode="_._.&quot;$&quot;* #,##0.0000_)_%;_._.&quot;$&quot;* \(#,##0.0000\)_%;_._.&quot;$&quot;* \ ?_)_%"/>
    <numFmt numFmtId="211" formatCode="&quot;$&quot;#,##0,_);\(&quot;$&quot;#,##0,\)"/>
    <numFmt numFmtId="212" formatCode="&quot;$&quot;0.0,_);\(&quot;$&quot;0.0,\)"/>
    <numFmt numFmtId="213" formatCode="&quot;$&quot;0.00,_);\(&quot;$&quot;0.00,\)"/>
    <numFmt numFmtId="214" formatCode="_(* dd\-mmm\-yy_)_%"/>
    <numFmt numFmtId="215" formatCode="_(* dd\ mmmm\ yyyy_)_%"/>
    <numFmt numFmtId="216" formatCode="_(* mmmm\ dd\,\ yyyy_)_%"/>
    <numFmt numFmtId="217" formatCode="_(* dd\.mm\.yyyy_)_%"/>
    <numFmt numFmtId="218" formatCode="_(* mm/dd/yyyy_)_%"/>
    <numFmt numFmtId="219" formatCode="m/d/yy;@"/>
    <numFmt numFmtId="220" formatCode="#,##0.0\x_);\(#,##0.0\x\)"/>
    <numFmt numFmtId="221" formatCode="#,##0.00\x_);\(#,##0.00\x\)"/>
    <numFmt numFmtId="222" formatCode="[$€-2]\ #,##0_);\([$€-2]\ #,##0\)"/>
    <numFmt numFmtId="223" formatCode="[$€-2]\ #,##0.0_);\([$€-2]\ #,##0.0\)"/>
    <numFmt numFmtId="224" formatCode="_([$€-2]* #,##0.00_);_([$€-2]* \(#,##0.00\);_([$€-2]* &quot;-&quot;??_)"/>
    <numFmt numFmtId="225" formatCode="General_)_%"/>
    <numFmt numFmtId="226" formatCode="_(_(#0_)_%;[Red]_(_(\-#0\)_%;[Green]_(_(#0_)_%;_(_(@_)_%"/>
    <numFmt numFmtId="227" formatCode="_(_(_•_ #0_)_%;[Red]_(_(_•_ \-#0\)_%;[Green]_(_(_•_ #0_)_%;_(_(_•_ @_)_%"/>
    <numFmt numFmtId="228" formatCode="_(_(_•_ _•_ #0_)_%;[Red]_(_(_•_ _•_ \-#0\)_%;[Green]_(_(_•_ _•_ #0_)_%;_(_(_•_ _•_ @_)_%"/>
    <numFmt numFmtId="229" formatCode="_(_(_•_ _•_ _•_ #0_)_%;[Red]_(_(_•_ _•_ _•_ \-#0\)_%;[Green]_(_(_•_ _•_ _•_ #0_)_%;_(_(_•_ _•_ _•_ @_)_%"/>
    <numFmt numFmtId="230" formatCode="#,##0\x;\(#,##0\x\)"/>
    <numFmt numFmtId="231" formatCode="0.0\x;\(0.0\x\)"/>
    <numFmt numFmtId="232" formatCode="#,##0.00\x;\(#,##0.00\x\)"/>
    <numFmt numFmtId="233" formatCode="#,##0.000\x;\(#,##0.000\x\)"/>
    <numFmt numFmtId="234" formatCode="0.0_);\(0.0\)"/>
    <numFmt numFmtId="235" formatCode="0%;\(0%\)"/>
    <numFmt numFmtId="236" formatCode="0.00\ \x_);\(0.00\ \x\)"/>
    <numFmt numFmtId="237" formatCode="_(* #,##0_);_(* \(#,##0\);_(* &quot;-&quot;????_);_(@_)"/>
    <numFmt numFmtId="238" formatCode="0__"/>
    <numFmt numFmtId="239" formatCode="h:mmAM/PM"/>
    <numFmt numFmtId="240" formatCode="0&quot; E&quot;"/>
    <numFmt numFmtId="241" formatCode="yyyy"/>
    <numFmt numFmtId="242" formatCode="0.0%;\(0.0%\)"/>
    <numFmt numFmtId="243" formatCode="0.00%_);\(0.00%\)"/>
    <numFmt numFmtId="244" formatCode="0.000%_);\(0.000%\)"/>
    <numFmt numFmtId="245" formatCode="_(0_)%;\(0\)%;\ \ ?_)%"/>
    <numFmt numFmtId="246" formatCode="_._._(* 0_)%;_._.* \(0\)%;_._._(* \ ?_)%"/>
    <numFmt numFmtId="247" formatCode="0%_);\(0%\)"/>
    <numFmt numFmtId="248" formatCode="_(* #,##0_)_%;[Red]_(* \(#,##0\)_%;[Green]_(* 0_)_%;_(@_)_%"/>
    <numFmt numFmtId="249" formatCode="_(* #,##0.0%_);[Red]_(* \-#,##0.0%_);[Green]_(* 0.0%_);_(@_)_%"/>
    <numFmt numFmtId="250" formatCode="_(* #,##0.00%_);[Red]_(* \-#,##0.00%_);[Green]_(* 0.00%_);_(@_)_%"/>
    <numFmt numFmtId="251" formatCode="_(* #,##0.000%_);[Red]_(* \-#,##0.000%_);[Green]_(* 0.000%_);_(@_)_%"/>
    <numFmt numFmtId="252" formatCode="_(0.0_)%;\(0.0\)%;\ \ ?_)%"/>
    <numFmt numFmtId="253" formatCode="_._._(* 0.0_)%;_._.* \(0.0\)%;_._._(* \ ?_)%"/>
    <numFmt numFmtId="254" formatCode="_(0.00_)%;\(0.00\)%;\ \ ?_)%"/>
    <numFmt numFmtId="255" formatCode="_._._(* 0.00_)%;_._.* \(0.00\)%;_._._(* \ ?_)%"/>
    <numFmt numFmtId="256" formatCode="_(0.000_)%;\(0.000\)%;\ \ ?_)%"/>
    <numFmt numFmtId="257" formatCode="_._._(* 0.000_)%;_._.* \(0.000\)%;_._._(* \ ?_)%"/>
    <numFmt numFmtId="258" formatCode="_(0.0000_)%;\(0.0000\)%;\ \ ?_)%"/>
    <numFmt numFmtId="259" formatCode="_._._(* 0.0000_)%;_._.* \(0.0000\)%;_._._(* \ ?_)%"/>
    <numFmt numFmtId="260" formatCode="mmmm\ dd\,\ yy"/>
    <numFmt numFmtId="261" formatCode="0.0\x"/>
    <numFmt numFmtId="262" formatCode="_(* #,##0_);_(* \(#,##0\);_(* \ ?_)"/>
    <numFmt numFmtId="263" formatCode="_(* #,##0.0_);_(* \(#,##0.0\);_(* \ ?_)"/>
    <numFmt numFmtId="264" formatCode="_(* #,##0.00_);_(* \(#,##0.00\);_(* \ ?_)"/>
    <numFmt numFmtId="265" formatCode="_(* #,##0.000_);_(* \(#,##0.000\);_(* \ ?_)"/>
    <numFmt numFmtId="266" formatCode="_(&quot;$&quot;* #,##0_);_(&quot;$&quot;* \(#,##0\);_(&quot;$&quot;* \ ?_)"/>
    <numFmt numFmtId="267" formatCode="_(&quot;$&quot;* #,##0.0_);_(&quot;$&quot;* \(#,##0.0\);_(&quot;$&quot;* \ ?_)"/>
    <numFmt numFmtId="268" formatCode="_(&quot;$&quot;* #,##0.00_);_(&quot;$&quot;* \(#,##0.00\);_(&quot;$&quot;* \ ?_)"/>
    <numFmt numFmtId="269" formatCode="_(&quot;$&quot;* #,##0.000_);_(&quot;$&quot;* \(#,##0.000\);_(&quot;$&quot;* \ ?_)"/>
    <numFmt numFmtId="270" formatCode="0000&quot;A&quot;"/>
    <numFmt numFmtId="271" formatCode="0&quot;E&quot;"/>
    <numFmt numFmtId="272" formatCode="0000&quot;E&quot;"/>
    <numFmt numFmtId="273" formatCode="_(* #,##0.00000_);_(* \(#,##0.00000\);_(* &quot;-&quot;?????_);_(@_)"/>
    <numFmt numFmtId="274" formatCode="0.0000%"/>
    <numFmt numFmtId="275" formatCode="0_)"/>
    <numFmt numFmtId="276" formatCode="0.0"/>
    <numFmt numFmtId="277" formatCode="_(&quot;$&quot;* #,##0.0_);_(&quot;$&quot;* \(#,##0.0\);_(&quot;$&quot;* &quot;-&quot;??_);_(@_)"/>
    <numFmt numFmtId="278" formatCode="&quot;$&quot;#,##0.0000"/>
  </numFmts>
  <fonts count="144">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u/>
      <sz val="12"/>
      <name val="Arial"/>
      <family val="2"/>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color theme="1"/>
      <name val="Calibri"/>
      <family val="2"/>
      <scheme val="minor"/>
    </font>
    <font>
      <b/>
      <sz val="12"/>
      <name val="Times New Roman"/>
      <family val="1"/>
    </font>
    <font>
      <sz val="11"/>
      <color indexed="8"/>
      <name val="Arial Narrow"/>
      <family val="2"/>
    </font>
    <font>
      <sz val="10"/>
      <color rgb="FF0000FF"/>
      <name val="Arial"/>
      <family val="2"/>
    </font>
    <font>
      <sz val="11"/>
      <color indexed="8"/>
      <name val="Arial"/>
      <family val="2"/>
    </font>
    <font>
      <sz val="11"/>
      <color rgb="FFFF0000"/>
      <name val="Calibri"/>
      <family val="2"/>
      <scheme val="minor"/>
    </font>
    <font>
      <sz val="11"/>
      <color theme="1"/>
      <name val="Arial Narrow"/>
      <family val="2"/>
    </font>
    <font>
      <b/>
      <sz val="11"/>
      <color theme="1"/>
      <name val="Arial Narrow"/>
      <family val="2"/>
    </font>
    <font>
      <b/>
      <i/>
      <sz val="11"/>
      <name val="Arial Narrow"/>
      <family val="2"/>
    </font>
    <font>
      <sz val="11"/>
      <name val="Calibri"/>
      <family val="2"/>
      <scheme val="minor"/>
    </font>
    <font>
      <b/>
      <i/>
      <sz val="10"/>
      <name val="Arial"/>
      <family val="2"/>
    </font>
    <font>
      <b/>
      <i/>
      <sz val="11"/>
      <name val="Calibri"/>
      <family val="2"/>
      <scheme val="minor"/>
    </font>
    <font>
      <b/>
      <sz val="10"/>
      <name val="Arial Narrow"/>
      <family val="2"/>
    </font>
    <font>
      <b/>
      <sz val="10"/>
      <name val="Helv"/>
    </font>
    <font>
      <b/>
      <sz val="8"/>
      <name val="Arial Narrow"/>
      <family val="2"/>
    </font>
    <font>
      <b/>
      <sz val="16"/>
      <name val="Arial"/>
      <family val="2"/>
    </font>
    <font>
      <sz val="12"/>
      <color indexed="12"/>
      <name val="Arial"/>
      <family val="2"/>
    </font>
    <font>
      <sz val="12"/>
      <color indexed="8"/>
      <name val="Arial"/>
      <family val="2"/>
    </font>
    <font>
      <sz val="10"/>
      <color rgb="FFFF0000"/>
      <name val="Times New Roman"/>
      <family val="1"/>
    </font>
    <font>
      <sz val="12"/>
      <color indexed="40"/>
      <name val="Times New Roman"/>
      <family val="1"/>
    </font>
    <font>
      <b/>
      <sz val="10"/>
      <color rgb="FFFF0000"/>
      <name val="Times New Roman"/>
      <family val="1"/>
    </font>
    <font>
      <sz val="11"/>
      <color rgb="FFFF0000"/>
      <name val="Times New Roman"/>
      <family val="1"/>
    </font>
    <font>
      <sz val="11"/>
      <color theme="1"/>
      <name val="Times New Roman"/>
      <family val="1"/>
    </font>
    <font>
      <b/>
      <sz val="11"/>
      <color theme="1"/>
      <name val="Times New Roman"/>
      <family val="1"/>
    </font>
    <font>
      <b/>
      <sz val="11"/>
      <name val="Times New Roman"/>
      <family val="1"/>
    </font>
    <font>
      <sz val="11"/>
      <color indexed="10"/>
      <name val="Times New Roman"/>
      <family val="1"/>
    </font>
    <font>
      <b/>
      <u/>
      <sz val="11"/>
      <name val="Times New Roman"/>
      <family val="1"/>
    </font>
    <font>
      <b/>
      <i/>
      <sz val="11"/>
      <name val="Times New Roman"/>
      <family val="1"/>
    </font>
    <font>
      <i/>
      <sz val="11"/>
      <name val="Times New Roman"/>
      <family val="1"/>
    </font>
    <font>
      <sz val="11"/>
      <name val="Arial Narrow"/>
      <family val="2"/>
    </font>
    <font>
      <b/>
      <sz val="11"/>
      <name val="Arial Narrow"/>
      <family val="2"/>
    </font>
    <font>
      <b/>
      <sz val="11"/>
      <color rgb="FFFF0000"/>
      <name val="Calibri"/>
      <family val="2"/>
      <scheme val="minor"/>
    </font>
    <font>
      <b/>
      <sz val="11"/>
      <color theme="1"/>
      <name val="Calibri"/>
      <family val="2"/>
      <scheme val="minor"/>
    </font>
    <font>
      <b/>
      <sz val="10"/>
      <color rgb="FF3333FF"/>
      <name val="Calibri"/>
      <family val="2"/>
      <scheme val="minor"/>
    </font>
    <font>
      <i/>
      <sz val="11"/>
      <color theme="1"/>
      <name val="Calibri"/>
      <family val="2"/>
      <scheme val="minor"/>
    </font>
    <font>
      <b/>
      <sz val="12"/>
      <name val="Calibri"/>
      <family val="2"/>
      <scheme val="minor"/>
    </font>
    <font>
      <sz val="12"/>
      <name val="Calibri"/>
      <family val="2"/>
      <scheme val="minor"/>
    </font>
    <font>
      <b/>
      <sz val="12"/>
      <color theme="1" tint="0.34998626667073579"/>
      <name val="Calibri"/>
      <family val="2"/>
      <scheme val="minor"/>
    </font>
    <font>
      <sz val="12"/>
      <color theme="1" tint="0.34998626667073579"/>
      <name val="Calibri"/>
      <family val="2"/>
      <scheme val="minor"/>
    </font>
    <font>
      <b/>
      <sz val="12"/>
      <color rgb="FFFF0000"/>
      <name val="Calibri"/>
      <family val="2"/>
      <scheme val="minor"/>
    </font>
    <font>
      <b/>
      <sz val="12"/>
      <color theme="1"/>
      <name val="Calibri"/>
      <family val="2"/>
      <scheme val="minor"/>
    </font>
    <font>
      <b/>
      <sz val="12"/>
      <color rgb="FF3333FF"/>
      <name val="Calibri"/>
      <family val="2"/>
      <scheme val="minor"/>
    </font>
    <font>
      <b/>
      <sz val="11"/>
      <name val="Calibri"/>
      <family val="2"/>
      <scheme val="minor"/>
    </font>
    <font>
      <sz val="10"/>
      <name val="Helv"/>
    </font>
    <font>
      <sz val="10"/>
      <name val="Arial"/>
    </font>
  </fonts>
  <fills count="19">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rgb="FFFFFF9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s>
  <borders count="32">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42">
    <xf numFmtId="172" fontId="0" fillId="0" borderId="0" applyProtection="0"/>
    <xf numFmtId="0" fontId="14" fillId="0" borderId="0"/>
    <xf numFmtId="183" fontId="52" fillId="0" borderId="0" applyFont="0" applyFill="0" applyBorder="0" applyAlignment="0" applyProtection="0"/>
    <xf numFmtId="184" fontId="52" fillId="0" borderId="0" applyFont="0" applyFill="0" applyBorder="0" applyAlignment="0" applyProtection="0"/>
    <xf numFmtId="185" fontId="52" fillId="0" borderId="0" applyFont="0" applyFill="0" applyBorder="0" applyAlignment="0" applyProtection="0"/>
    <xf numFmtId="186" fontId="52" fillId="0" borderId="0" applyFont="0" applyFill="0" applyBorder="0" applyAlignment="0" applyProtection="0"/>
    <xf numFmtId="187" fontId="52" fillId="0" borderId="0" applyFont="0" applyFill="0" applyBorder="0" applyAlignment="0" applyProtection="0"/>
    <xf numFmtId="188" fontId="52" fillId="0" borderId="0" applyFont="0" applyFill="0" applyBorder="0" applyAlignment="0" applyProtection="0"/>
    <xf numFmtId="0" fontId="22" fillId="0" borderId="0"/>
    <xf numFmtId="189" fontId="14" fillId="2" borderId="0" applyNumberFormat="0" applyFill="0" applyBorder="0" applyAlignment="0" applyProtection="0">
      <alignment horizontal="right" vertical="center"/>
    </xf>
    <xf numFmtId="189" fontId="46" fillId="0" borderId="0" applyNumberFormat="0" applyFill="0" applyBorder="0" applyAlignment="0" applyProtection="0"/>
    <xf numFmtId="0" fontId="14" fillId="0" borderId="1" applyNumberFormat="0" applyFont="0" applyFill="0" applyAlignment="0" applyProtection="0"/>
    <xf numFmtId="190" fontId="44" fillId="0" borderId="0" applyFont="0" applyFill="0" applyBorder="0" applyAlignment="0" applyProtection="0"/>
    <xf numFmtId="191" fontId="52" fillId="0" borderId="0" applyFont="0" applyFill="0" applyBorder="0" applyProtection="0">
      <alignment horizontal="left"/>
    </xf>
    <xf numFmtId="192" fontId="52" fillId="0" borderId="0" applyFont="0" applyFill="0" applyBorder="0" applyProtection="0">
      <alignment horizontal="left"/>
    </xf>
    <xf numFmtId="193" fontId="52" fillId="0" borderId="0" applyFont="0" applyFill="0" applyBorder="0" applyProtection="0">
      <alignment horizontal="left"/>
    </xf>
    <xf numFmtId="37" fontId="53" fillId="0" borderId="0" applyFont="0" applyFill="0" applyBorder="0" applyAlignment="0" applyProtection="0">
      <alignment vertical="center"/>
      <protection locked="0"/>
    </xf>
    <xf numFmtId="194" fontId="54" fillId="0" borderId="0" applyFont="0" applyFill="0" applyBorder="0" applyAlignment="0" applyProtection="0"/>
    <xf numFmtId="0" fontId="55" fillId="0" borderId="0"/>
    <xf numFmtId="0" fontId="55" fillId="0" borderId="0"/>
    <xf numFmtId="172" fontId="12" fillId="0" borderId="0" applyFill="0"/>
    <xf numFmtId="172" fontId="12" fillId="0" borderId="0">
      <alignment horizontal="center"/>
    </xf>
    <xf numFmtId="0" fontId="12" fillId="0" borderId="0" applyFill="0">
      <alignment horizontal="center"/>
    </xf>
    <xf numFmtId="172" fontId="13" fillId="0" borderId="2" applyFill="0"/>
    <xf numFmtId="0" fontId="14" fillId="0" borderId="0" applyFont="0" applyAlignment="0"/>
    <xf numFmtId="0" fontId="15" fillId="0" borderId="0" applyFill="0">
      <alignment vertical="top"/>
    </xf>
    <xf numFmtId="0" fontId="13" fillId="0" borderId="0" applyFill="0">
      <alignment horizontal="left" vertical="top"/>
    </xf>
    <xf numFmtId="172" fontId="16" fillId="0" borderId="3" applyFill="0"/>
    <xf numFmtId="0" fontId="14" fillId="0" borderId="0" applyNumberFormat="0" applyFont="0" applyAlignment="0"/>
    <xf numFmtId="0" fontId="15" fillId="0" borderId="0" applyFill="0">
      <alignment wrapText="1"/>
    </xf>
    <xf numFmtId="0" fontId="13" fillId="0" borderId="0" applyFill="0">
      <alignment horizontal="left" vertical="top" wrapText="1"/>
    </xf>
    <xf numFmtId="172" fontId="17" fillId="0" borderId="0" applyFill="0"/>
    <xf numFmtId="0" fontId="18" fillId="0" borderId="0" applyNumberFormat="0" applyFont="0" applyAlignment="0">
      <alignment horizontal="center"/>
    </xf>
    <xf numFmtId="0" fontId="19" fillId="0" borderId="0" applyFill="0">
      <alignment vertical="top" wrapText="1"/>
    </xf>
    <xf numFmtId="0" fontId="16" fillId="0" borderId="0" applyFill="0">
      <alignment horizontal="left" vertical="top" wrapText="1"/>
    </xf>
    <xf numFmtId="172" fontId="14" fillId="0" borderId="0" applyFill="0"/>
    <xf numFmtId="0" fontId="18" fillId="0" borderId="0" applyNumberFormat="0" applyFont="0" applyAlignment="0">
      <alignment horizontal="center"/>
    </xf>
    <xf numFmtId="0" fontId="20" fillId="0" borderId="0" applyFill="0">
      <alignment vertical="center" wrapText="1"/>
    </xf>
    <xf numFmtId="0" fontId="21" fillId="0" borderId="0">
      <alignment horizontal="left" vertical="center" wrapText="1"/>
    </xf>
    <xf numFmtId="172" fontId="22" fillId="0" borderId="0" applyFill="0"/>
    <xf numFmtId="0" fontId="18" fillId="0" borderId="0" applyNumberFormat="0" applyFont="0" applyAlignment="0">
      <alignment horizontal="center"/>
    </xf>
    <xf numFmtId="0" fontId="23" fillId="0" borderId="0" applyFill="0">
      <alignment horizontal="center" vertical="center" wrapText="1"/>
    </xf>
    <xf numFmtId="0" fontId="24" fillId="0" borderId="0" applyFill="0">
      <alignment horizontal="center" vertical="center" wrapText="1"/>
    </xf>
    <xf numFmtId="0" fontId="14" fillId="0" borderId="0" applyFill="0">
      <alignment horizontal="center" vertical="center" wrapText="1"/>
    </xf>
    <xf numFmtId="172" fontId="25" fillId="0" borderId="0" applyFill="0"/>
    <xf numFmtId="0" fontId="18"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172" fontId="28" fillId="0" borderId="0" applyFill="0"/>
    <xf numFmtId="0" fontId="18" fillId="0" borderId="0" applyNumberFormat="0" applyFont="0" applyAlignment="0">
      <alignment horizontal="center"/>
    </xf>
    <xf numFmtId="0" fontId="29" fillId="0" borderId="0">
      <alignment horizontal="center" wrapText="1"/>
    </xf>
    <xf numFmtId="0" fontId="25" fillId="0" borderId="0" applyFill="0">
      <alignment horizontal="center" wrapText="1"/>
    </xf>
    <xf numFmtId="178" fontId="56" fillId="0" borderId="0" applyFont="0" applyFill="0" applyBorder="0" applyAlignment="0" applyProtection="0">
      <protection locked="0"/>
    </xf>
    <xf numFmtId="195" fontId="56" fillId="0" borderId="0" applyFont="0" applyFill="0" applyBorder="0" applyAlignment="0" applyProtection="0">
      <protection locked="0"/>
    </xf>
    <xf numFmtId="39" fontId="14" fillId="0" borderId="0" applyFont="0" applyFill="0" applyBorder="0" applyAlignment="0" applyProtection="0"/>
    <xf numFmtId="196" fontId="57" fillId="0" borderId="0" applyFont="0" applyFill="0" applyBorder="0" applyAlignment="0" applyProtection="0"/>
    <xf numFmtId="181" fontId="54" fillId="0" borderId="0" applyFont="0" applyFill="0" applyBorder="0" applyAlignment="0" applyProtection="0"/>
    <xf numFmtId="0" fontId="14" fillId="0" borderId="1" applyNumberFormat="0" applyFont="0" applyFill="0" applyBorder="0" applyProtection="0">
      <alignment horizontal="centerContinuous" vertical="center"/>
    </xf>
    <xf numFmtId="0" fontId="38" fillId="0" borderId="0" applyFill="0" applyBorder="0" applyProtection="0">
      <alignment horizontal="center"/>
      <protection locked="0"/>
    </xf>
    <xf numFmtId="43" fontId="14" fillId="0" borderId="0" applyFont="0" applyFill="0" applyBorder="0" applyAlignment="0" applyProtection="0"/>
    <xf numFmtId="0" fontId="14"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1" fontId="14" fillId="0" borderId="0" applyFont="0" applyFill="0" applyBorder="0" applyAlignment="0" applyProtection="0"/>
    <xf numFmtId="197" fontId="52" fillId="0" borderId="0" applyFont="0" applyFill="0" applyBorder="0" applyAlignment="0" applyProtection="0"/>
    <xf numFmtId="198" fontId="52" fillId="0" borderId="0" applyFont="0" applyFill="0" applyBorder="0" applyAlignment="0" applyProtection="0"/>
    <xf numFmtId="199" fontId="52" fillId="0" borderId="0" applyFont="0" applyFill="0" applyBorder="0" applyAlignment="0" applyProtection="0"/>
    <xf numFmtId="200" fontId="50" fillId="0" borderId="0" applyFont="0" applyFill="0" applyBorder="0" applyAlignment="0" applyProtection="0"/>
    <xf numFmtId="201" fontId="59" fillId="0" borderId="0" applyFont="0" applyFill="0" applyBorder="0" applyAlignment="0" applyProtection="0"/>
    <xf numFmtId="202" fontId="59" fillId="0" borderId="0" applyFont="0" applyFill="0" applyBorder="0" applyAlignment="0" applyProtection="0"/>
    <xf numFmtId="203" fontId="17" fillId="0" borderId="0" applyFont="0" applyFill="0" applyBorder="0" applyAlignment="0" applyProtection="0">
      <protection locked="0"/>
    </xf>
    <xf numFmtId="43" fontId="10" fillId="0" borderId="0" applyFont="0" applyFill="0" applyBorder="0" applyAlignment="0" applyProtection="0"/>
    <xf numFmtId="43" fontId="34" fillId="0" borderId="0" applyFont="0" applyFill="0" applyBorder="0" applyAlignment="0" applyProtection="0"/>
    <xf numFmtId="43" fontId="24"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94" fillId="0" borderId="0" applyFont="0" applyFill="0" applyBorder="0" applyAlignment="0" applyProtection="0"/>
    <xf numFmtId="37" fontId="60" fillId="0" borderId="0" applyFill="0" applyBorder="0" applyAlignment="0" applyProtection="0"/>
    <xf numFmtId="3" fontId="14" fillId="0" borderId="0" applyFont="0" applyFill="0" applyBorder="0" applyAlignment="0" applyProtection="0"/>
    <xf numFmtId="0" fontId="13" fillId="0" borderId="0" applyFill="0" applyBorder="0" applyAlignment="0" applyProtection="0">
      <protection locked="0"/>
    </xf>
    <xf numFmtId="0" fontId="14" fillId="0" borderId="4"/>
    <xf numFmtId="44" fontId="14" fillId="0" borderId="0" applyFont="0" applyFill="0" applyBorder="0" applyAlignment="0" applyProtection="0"/>
    <xf numFmtId="204" fontId="52" fillId="0" borderId="0" applyFont="0" applyFill="0" applyBorder="0" applyAlignment="0" applyProtection="0"/>
    <xf numFmtId="205" fontId="52" fillId="0" borderId="0" applyFont="0" applyFill="0" applyBorder="0" applyAlignment="0" applyProtection="0"/>
    <xf numFmtId="206" fontId="52" fillId="0" borderId="0" applyFont="0" applyFill="0" applyBorder="0" applyAlignment="0" applyProtection="0"/>
    <xf numFmtId="207" fontId="59" fillId="0" borderId="0" applyFont="0" applyFill="0" applyBorder="0" applyAlignment="0" applyProtection="0"/>
    <xf numFmtId="208" fontId="59" fillId="0" borderId="0" applyFont="0" applyFill="0" applyBorder="0" applyAlignment="0" applyProtection="0"/>
    <xf numFmtId="209" fontId="59" fillId="0" borderId="0" applyFont="0" applyFill="0" applyBorder="0" applyAlignment="0" applyProtection="0"/>
    <xf numFmtId="210" fontId="17" fillId="0" borderId="0" applyFont="0" applyFill="0" applyBorder="0" applyAlignment="0" applyProtection="0">
      <protection locked="0"/>
    </xf>
    <xf numFmtId="44" fontId="24" fillId="0" borderId="0" applyFont="0" applyFill="0" applyBorder="0" applyAlignment="0" applyProtection="0"/>
    <xf numFmtId="44" fontId="14" fillId="0" borderId="0" applyFont="0" applyFill="0" applyBorder="0" applyAlignment="0" applyProtection="0"/>
    <xf numFmtId="44" fontId="4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5" fontId="60" fillId="0" borderId="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211" fontId="54" fillId="0" borderId="0" applyFont="0" applyFill="0" applyBorder="0" applyAlignment="0" applyProtection="0"/>
    <xf numFmtId="180" fontId="14" fillId="0" borderId="0" applyFont="0" applyFill="0" applyBorder="0" applyAlignment="0" applyProtection="0"/>
    <xf numFmtId="212" fontId="56" fillId="0" borderId="0" applyFont="0" applyFill="0" applyBorder="0" applyAlignment="0" applyProtection="0">
      <protection locked="0"/>
    </xf>
    <xf numFmtId="7" fontId="12" fillId="0" borderId="0" applyFont="0" applyFill="0" applyBorder="0" applyAlignment="0" applyProtection="0"/>
    <xf numFmtId="213" fontId="57" fillId="0" borderId="0" applyFont="0" applyFill="0" applyBorder="0" applyAlignment="0" applyProtection="0"/>
    <xf numFmtId="179" fontId="61" fillId="0" borderId="0" applyFont="0" applyFill="0" applyBorder="0" applyAlignment="0" applyProtection="0"/>
    <xf numFmtId="0" fontId="62" fillId="3" borderId="5" applyNumberFormat="0" applyFont="0" applyFill="0" applyAlignment="0" applyProtection="0">
      <alignment horizontal="left" indent="1"/>
    </xf>
    <xf numFmtId="14" fontId="14" fillId="0" borderId="0" applyFont="0" applyFill="0" applyBorder="0" applyAlignment="0" applyProtection="0"/>
    <xf numFmtId="214" fontId="52" fillId="0" borderId="0" applyFont="0" applyFill="0" applyBorder="0" applyProtection="0"/>
    <xf numFmtId="215" fontId="52" fillId="0" borderId="0" applyFont="0" applyFill="0" applyBorder="0" applyProtection="0"/>
    <xf numFmtId="216" fontId="52" fillId="0" borderId="0" applyFont="0" applyFill="0" applyBorder="0" applyAlignment="0" applyProtection="0"/>
    <xf numFmtId="217" fontId="52" fillId="0" borderId="0" applyFont="0" applyFill="0" applyBorder="0" applyAlignment="0" applyProtection="0"/>
    <xf numFmtId="218" fontId="52" fillId="0" borderId="0" applyFont="0" applyFill="0" applyBorder="0" applyAlignment="0" applyProtection="0"/>
    <xf numFmtId="219" fontId="63" fillId="0" borderId="0" applyFont="0" applyFill="0" applyBorder="0" applyAlignment="0" applyProtection="0"/>
    <xf numFmtId="5" fontId="64" fillId="0" borderId="0" applyBorder="0"/>
    <xf numFmtId="180" fontId="64" fillId="0" borderId="0" applyBorder="0"/>
    <xf numFmtId="7" fontId="64" fillId="0" borderId="0" applyBorder="0"/>
    <xf numFmtId="37" fontId="64" fillId="0" borderId="0" applyBorder="0"/>
    <xf numFmtId="178" fontId="64" fillId="0" borderId="0" applyBorder="0"/>
    <xf numFmtId="220" fontId="64" fillId="0" borderId="0" applyBorder="0"/>
    <xf numFmtId="39" fontId="64" fillId="0" borderId="0" applyBorder="0"/>
    <xf numFmtId="221" fontId="64" fillId="0" borderId="0" applyBorder="0"/>
    <xf numFmtId="7" fontId="14" fillId="0" borderId="0" applyFont="0" applyFill="0" applyBorder="0" applyAlignment="0" applyProtection="0"/>
    <xf numFmtId="222" fontId="54" fillId="0" borderId="0" applyFont="0" applyFill="0" applyBorder="0" applyAlignment="0" applyProtection="0"/>
    <xf numFmtId="223" fontId="54" fillId="0" borderId="0" applyFont="0" applyFill="0" applyAlignment="0" applyProtection="0"/>
    <xf numFmtId="222" fontId="54" fillId="0" borderId="0" applyFont="0" applyFill="0" applyBorder="0" applyAlignment="0" applyProtection="0"/>
    <xf numFmtId="224" fontId="12" fillId="0" borderId="0" applyFont="0" applyFill="0" applyBorder="0" applyAlignment="0" applyProtection="0"/>
    <xf numFmtId="2" fontId="14" fillId="0" borderId="0" applyFont="0" applyFill="0" applyBorder="0" applyAlignment="0" applyProtection="0"/>
    <xf numFmtId="0" fontId="65" fillId="0" borderId="0"/>
    <xf numFmtId="178" fontId="66" fillId="0" borderId="0" applyNumberFormat="0" applyFill="0" applyBorder="0" applyAlignment="0" applyProtection="0"/>
    <xf numFmtId="0" fontId="12" fillId="0" borderId="0" applyFont="0" applyFill="0" applyBorder="0" applyAlignment="0" applyProtection="0"/>
    <xf numFmtId="0" fontId="52" fillId="0" borderId="0" applyFont="0" applyFill="0" applyBorder="0" applyProtection="0">
      <alignment horizontal="center" wrapText="1"/>
    </xf>
    <xf numFmtId="225" fontId="52" fillId="0" borderId="0" applyFont="0" applyFill="0" applyBorder="0" applyProtection="0">
      <alignment horizontal="right"/>
    </xf>
    <xf numFmtId="0" fontId="66" fillId="0" borderId="0" applyNumberFormat="0" applyFill="0" applyBorder="0" applyAlignment="0" applyProtection="0"/>
    <xf numFmtId="0" fontId="67" fillId="4" borderId="0" applyNumberFormat="0" applyFill="0" applyBorder="0" applyAlignment="0" applyProtection="0"/>
    <xf numFmtId="0" fontId="16" fillId="0" borderId="6" applyNumberFormat="0" applyAlignment="0" applyProtection="0">
      <alignment horizontal="left" vertical="center"/>
    </xf>
    <xf numFmtId="0" fontId="16" fillId="0" borderId="7">
      <alignment horizontal="left" vertical="center"/>
    </xf>
    <xf numFmtId="14" fontId="39" fillId="5" borderId="8">
      <alignment horizontal="center" vertical="center" wrapText="1"/>
    </xf>
    <xf numFmtId="0" fontId="30" fillId="0" borderId="0" applyFont="0" applyFill="0" applyBorder="0" applyAlignment="0" applyProtection="0"/>
    <xf numFmtId="0" fontId="31" fillId="0" borderId="0" applyFont="0" applyFill="0" applyBorder="0" applyAlignment="0" applyProtection="0"/>
    <xf numFmtId="0" fontId="16" fillId="0" borderId="0" applyFont="0" applyFill="0" applyBorder="0" applyAlignment="0" applyProtection="0"/>
    <xf numFmtId="0" fontId="38" fillId="0" borderId="0" applyFill="0" applyAlignment="0" applyProtection="0">
      <protection locked="0"/>
    </xf>
    <xf numFmtId="0" fontId="38" fillId="0" borderId="1" applyFill="0" applyAlignment="0" applyProtection="0">
      <protection locked="0"/>
    </xf>
    <xf numFmtId="0" fontId="32" fillId="0" borderId="8"/>
    <xf numFmtId="0" fontId="33" fillId="0" borderId="0"/>
    <xf numFmtId="0" fontId="68" fillId="0" borderId="1" applyNumberFormat="0" applyFill="0" applyAlignment="0" applyProtection="0"/>
    <xf numFmtId="0" fontId="63" fillId="6" borderId="0" applyNumberFormat="0" applyFont="0" applyBorder="0" applyAlignment="0" applyProtection="0"/>
    <xf numFmtId="0" fontId="69" fillId="0" borderId="0" applyNumberFormat="0" applyFill="0" applyBorder="0" applyAlignment="0" applyProtection="0">
      <alignment vertical="top"/>
      <protection locked="0"/>
    </xf>
    <xf numFmtId="0" fontId="49" fillId="7" borderId="9" applyNumberFormat="0" applyAlignment="0" applyProtection="0"/>
    <xf numFmtId="226" fontId="52" fillId="0" borderId="0" applyFont="0" applyFill="0" applyBorder="0" applyProtection="0">
      <alignment horizontal="left"/>
    </xf>
    <xf numFmtId="227" fontId="52" fillId="0" borderId="0" applyFont="0" applyFill="0" applyBorder="0" applyProtection="0">
      <alignment horizontal="left"/>
    </xf>
    <xf numFmtId="228" fontId="52" fillId="0" borderId="0" applyFont="0" applyFill="0" applyBorder="0" applyProtection="0">
      <alignment horizontal="left"/>
    </xf>
    <xf numFmtId="229" fontId="52" fillId="0" borderId="0" applyFont="0" applyFill="0" applyBorder="0" applyProtection="0">
      <alignment horizontal="left"/>
    </xf>
    <xf numFmtId="10" fontId="12" fillId="8" borderId="9" applyNumberFormat="0" applyBorder="0" applyAlignment="0" applyProtection="0"/>
    <xf numFmtId="5" fontId="70" fillId="0" borderId="0" applyBorder="0"/>
    <xf numFmtId="180" fontId="70" fillId="0" borderId="0" applyBorder="0"/>
    <xf numFmtId="7" fontId="70" fillId="0" borderId="0" applyBorder="0"/>
    <xf numFmtId="37" fontId="70" fillId="0" borderId="0" applyBorder="0"/>
    <xf numFmtId="178" fontId="70" fillId="0" borderId="0" applyBorder="0"/>
    <xf numFmtId="220" fontId="70" fillId="0" borderId="0" applyBorder="0"/>
    <xf numFmtId="39" fontId="70" fillId="0" borderId="0" applyBorder="0"/>
    <xf numFmtId="221" fontId="70" fillId="0" borderId="0" applyBorder="0"/>
    <xf numFmtId="0" fontId="63" fillId="0" borderId="10" applyNumberFormat="0" applyFont="0" applyFill="0" applyAlignment="0" applyProtection="0"/>
    <xf numFmtId="0" fontId="71" fillId="0" borderId="0"/>
    <xf numFmtId="0" fontId="12" fillId="9" borderId="0"/>
    <xf numFmtId="230" fontId="14" fillId="0" borderId="0" applyFont="0" applyFill="0" applyBorder="0" applyAlignment="0" applyProtection="0"/>
    <xf numFmtId="231" fontId="14" fillId="0" borderId="0" applyFont="0" applyFill="0" applyBorder="0" applyAlignment="0" applyProtection="0"/>
    <xf numFmtId="232" fontId="14" fillId="0" borderId="0" applyFont="0" applyFill="0" applyBorder="0" applyAlignment="0" applyProtection="0"/>
    <xf numFmtId="233" fontId="14" fillId="0" borderId="0" applyFont="0" applyFill="0" applyBorder="0" applyAlignment="0" applyProtection="0"/>
    <xf numFmtId="0" fontId="14" fillId="0" borderId="0" applyFont="0" applyFill="0" applyBorder="0" applyAlignment="0" applyProtection="0">
      <alignment horizontal="right"/>
    </xf>
    <xf numFmtId="234" fontId="14" fillId="0" borderId="0" applyFont="0" applyFill="0" applyBorder="0" applyAlignment="0" applyProtection="0"/>
    <xf numFmtId="37" fontId="72" fillId="0" borderId="0"/>
    <xf numFmtId="0" fontId="54" fillId="0" borderId="0"/>
    <xf numFmtId="0" fontId="97" fillId="0" borderId="0"/>
    <xf numFmtId="7" fontId="95" fillId="0" borderId="0"/>
    <xf numFmtId="0" fontId="14" fillId="0" borderId="0"/>
    <xf numFmtId="0" fontId="50" fillId="0" borderId="0"/>
    <xf numFmtId="0" fontId="24" fillId="0" borderId="0"/>
    <xf numFmtId="0" fontId="14" fillId="0" borderId="0"/>
    <xf numFmtId="0" fontId="14" fillId="0" borderId="0"/>
    <xf numFmtId="0" fontId="48" fillId="0" borderId="0"/>
    <xf numFmtId="0" fontId="14" fillId="0" borderId="0"/>
    <xf numFmtId="0" fontId="14" fillId="0" borderId="0"/>
    <xf numFmtId="0" fontId="1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2" fontId="34" fillId="0" borderId="0" applyProtection="0"/>
    <xf numFmtId="0" fontId="97" fillId="0" borderId="0"/>
    <xf numFmtId="0" fontId="97" fillId="0" borderId="0"/>
    <xf numFmtId="0" fontId="97" fillId="0" borderId="0"/>
    <xf numFmtId="0" fontId="97" fillId="0" borderId="0"/>
    <xf numFmtId="0" fontId="34" fillId="0" borderId="0" applyProtection="0"/>
    <xf numFmtId="172" fontId="34" fillId="0" borderId="0" applyProtection="0"/>
    <xf numFmtId="172" fontId="34" fillId="0" borderId="0" applyProtection="0"/>
    <xf numFmtId="172" fontId="34" fillId="0" borderId="0" applyProtection="0"/>
    <xf numFmtId="0" fontId="14" fillId="0" borderId="0"/>
    <xf numFmtId="172" fontId="34" fillId="0" borderId="0" applyProtection="0"/>
    <xf numFmtId="0" fontId="14" fillId="0" borderId="0"/>
    <xf numFmtId="0" fontId="44" fillId="10" borderId="0" applyNumberFormat="0" applyFont="0" applyBorder="0" applyAlignment="0"/>
    <xf numFmtId="235" fontId="14" fillId="0" borderId="0" applyFont="0" applyFill="0" applyBorder="0" applyAlignment="0" applyProtection="0"/>
    <xf numFmtId="236" fontId="73" fillId="0" borderId="0"/>
    <xf numFmtId="235" fontId="14" fillId="0" borderId="0" applyFont="0" applyFill="0" applyBorder="0" applyAlignment="0" applyProtection="0"/>
    <xf numFmtId="235" fontId="14" fillId="0" borderId="0" applyFont="0" applyFill="0" applyBorder="0" applyAlignment="0" applyProtection="0"/>
    <xf numFmtId="235" fontId="14" fillId="0" borderId="0" applyFont="0" applyFill="0" applyBorder="0" applyAlignment="0" applyProtection="0"/>
    <xf numFmtId="237" fontId="14" fillId="0" borderId="0"/>
    <xf numFmtId="238" fontId="54" fillId="0" borderId="0"/>
    <xf numFmtId="238" fontId="54" fillId="0" borderId="0"/>
    <xf numFmtId="236" fontId="73" fillId="0" borderId="0"/>
    <xf numFmtId="0" fontId="54" fillId="0" borderId="0"/>
    <xf numFmtId="236" fontId="60" fillId="0" borderId="0"/>
    <xf numFmtId="237" fontId="14" fillId="0" borderId="0"/>
    <xf numFmtId="238" fontId="54" fillId="0" borderId="0"/>
    <xf numFmtId="238" fontId="54" fillId="0" borderId="0"/>
    <xf numFmtId="0" fontId="54" fillId="0" borderId="0"/>
    <xf numFmtId="0" fontId="54" fillId="0" borderId="0"/>
    <xf numFmtId="239" fontId="54" fillId="0" borderId="0"/>
    <xf numFmtId="169" fontId="54" fillId="0" borderId="0"/>
    <xf numFmtId="240" fontId="54" fillId="0" borderId="0"/>
    <xf numFmtId="239" fontId="54" fillId="0" borderId="0"/>
    <xf numFmtId="169" fontId="54" fillId="0" borderId="0"/>
    <xf numFmtId="241" fontId="54" fillId="0" borderId="0"/>
    <xf numFmtId="241" fontId="54" fillId="0" borderId="0"/>
    <xf numFmtId="176" fontId="54" fillId="0" borderId="0"/>
    <xf numFmtId="240" fontId="54" fillId="0" borderId="0"/>
    <xf numFmtId="168" fontId="54" fillId="0" borderId="0"/>
    <xf numFmtId="176" fontId="54" fillId="0" borderId="0"/>
    <xf numFmtId="176" fontId="54" fillId="0" borderId="0"/>
    <xf numFmtId="0" fontId="54" fillId="0" borderId="0"/>
    <xf numFmtId="235" fontId="14" fillId="0" borderId="0" applyFont="0" applyFill="0" applyBorder="0" applyAlignment="0" applyProtection="0"/>
    <xf numFmtId="235" fontId="14" fillId="0" borderId="0" applyFont="0" applyFill="0" applyBorder="0" applyAlignment="0" applyProtection="0"/>
    <xf numFmtId="235" fontId="14" fillId="0" borderId="0" applyFont="0" applyFill="0" applyBorder="0" applyAlignment="0" applyProtection="0"/>
    <xf numFmtId="236" fontId="73" fillId="0" borderId="0"/>
    <xf numFmtId="236" fontId="73" fillId="0" borderId="0"/>
    <xf numFmtId="235" fontId="14" fillId="0" borderId="0" applyFont="0" applyFill="0" applyBorder="0" applyAlignment="0" applyProtection="0"/>
    <xf numFmtId="236" fontId="73" fillId="0" borderId="0"/>
    <xf numFmtId="236" fontId="73" fillId="0" borderId="0"/>
    <xf numFmtId="239" fontId="54" fillId="0" borderId="0"/>
    <xf numFmtId="169" fontId="54" fillId="0" borderId="0"/>
    <xf numFmtId="240" fontId="54" fillId="0" borderId="0"/>
    <xf numFmtId="239" fontId="54" fillId="0" borderId="0"/>
    <xf numFmtId="169" fontId="54" fillId="0" borderId="0"/>
    <xf numFmtId="241" fontId="54" fillId="0" borderId="0"/>
    <xf numFmtId="241" fontId="54" fillId="0" borderId="0"/>
    <xf numFmtId="176" fontId="54" fillId="0" borderId="0"/>
    <xf numFmtId="240" fontId="54" fillId="0" borderId="0"/>
    <xf numFmtId="168" fontId="54" fillId="0" borderId="0"/>
    <xf numFmtId="176" fontId="54" fillId="0" borderId="0"/>
    <xf numFmtId="176" fontId="54" fillId="0" borderId="0"/>
    <xf numFmtId="242" fontId="22" fillId="11" borderId="0" applyFont="0" applyFill="0" applyBorder="0" applyAlignment="0" applyProtection="0"/>
    <xf numFmtId="243" fontId="22" fillId="11" borderId="0" applyFont="0" applyFill="0" applyBorder="0" applyAlignment="0" applyProtection="0"/>
    <xf numFmtId="244" fontId="14" fillId="0" borderId="0" applyFont="0" applyFill="0" applyBorder="0" applyAlignment="0" applyProtection="0"/>
    <xf numFmtId="9" fontId="14" fillId="0" borderId="0" applyFont="0" applyFill="0" applyBorder="0" applyAlignment="0" applyProtection="0"/>
    <xf numFmtId="245" fontId="59" fillId="0" borderId="0" applyFont="0" applyFill="0" applyBorder="0" applyAlignment="0" applyProtection="0"/>
    <xf numFmtId="246" fontId="50" fillId="0" borderId="0" applyFont="0" applyFill="0" applyBorder="0" applyAlignment="0" applyProtection="0"/>
    <xf numFmtId="247" fontId="14" fillId="0" borderId="0" applyFont="0" applyFill="0" applyBorder="0" applyAlignment="0" applyProtection="0"/>
    <xf numFmtId="248" fontId="52" fillId="0" borderId="0" applyFont="0" applyFill="0" applyBorder="0" applyAlignment="0" applyProtection="0"/>
    <xf numFmtId="249" fontId="52" fillId="0" borderId="0" applyFont="0" applyFill="0" applyBorder="0" applyAlignment="0" applyProtection="0"/>
    <xf numFmtId="250" fontId="52" fillId="0" borderId="0" applyFont="0" applyFill="0" applyBorder="0" applyAlignment="0" applyProtection="0"/>
    <xf numFmtId="251" fontId="52" fillId="0" borderId="0" applyFont="0" applyFill="0" applyBorder="0" applyAlignment="0" applyProtection="0"/>
    <xf numFmtId="252" fontId="59" fillId="0" borderId="0" applyFont="0" applyFill="0" applyBorder="0" applyAlignment="0" applyProtection="0"/>
    <xf numFmtId="253" fontId="50" fillId="0" borderId="0" applyFont="0" applyFill="0" applyBorder="0" applyAlignment="0" applyProtection="0"/>
    <xf numFmtId="254" fontId="59" fillId="0" borderId="0" applyFont="0" applyFill="0" applyBorder="0" applyAlignment="0" applyProtection="0"/>
    <xf numFmtId="255" fontId="50" fillId="0" borderId="0" applyFont="0" applyFill="0" applyBorder="0" applyAlignment="0" applyProtection="0"/>
    <xf numFmtId="256" fontId="59" fillId="0" borderId="0" applyFont="0" applyFill="0" applyBorder="0" applyAlignment="0" applyProtection="0"/>
    <xf numFmtId="257" fontId="50" fillId="0" borderId="0" applyFont="0" applyFill="0" applyBorder="0" applyAlignment="0" applyProtection="0"/>
    <xf numFmtId="258" fontId="17" fillId="0" borderId="0" applyFont="0" applyFill="0" applyBorder="0" applyAlignment="0" applyProtection="0">
      <protection locked="0"/>
    </xf>
    <xf numFmtId="259" fontId="50"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189" fontId="60" fillId="0" borderId="0" applyFill="0" applyBorder="0" applyAlignment="0" applyProtection="0"/>
    <xf numFmtId="9" fontId="64" fillId="0" borderId="0" applyBorder="0"/>
    <xf numFmtId="170" fontId="64" fillId="0" borderId="0" applyBorder="0"/>
    <xf numFmtId="10" fontId="64" fillId="0" borderId="0" applyBorder="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14" fillId="0" borderId="0">
      <alignment horizontal="left" vertical="top"/>
    </xf>
    <xf numFmtId="0" fontId="36" fillId="0" borderId="8">
      <alignment horizontal="center"/>
    </xf>
    <xf numFmtId="3" fontId="35" fillId="0" borderId="0" applyFont="0" applyFill="0" applyBorder="0" applyAlignment="0" applyProtection="0"/>
    <xf numFmtId="0" fontId="35" fillId="12" borderId="0" applyNumberFormat="0" applyFont="0" applyBorder="0" applyAlignment="0" applyProtection="0"/>
    <xf numFmtId="3" fontId="14" fillId="0" borderId="0">
      <alignment horizontal="right" vertical="top"/>
    </xf>
    <xf numFmtId="41" fontId="21" fillId="9" borderId="11" applyFill="0"/>
    <xf numFmtId="0" fontId="37" fillId="0" borderId="0">
      <alignment horizontal="left" indent="7"/>
    </xf>
    <xf numFmtId="41" fontId="21" fillId="0" borderId="11" applyFill="0">
      <alignment horizontal="left" indent="2"/>
    </xf>
    <xf numFmtId="172" fontId="38" fillId="0" borderId="1" applyFill="0">
      <alignment horizontal="right"/>
    </xf>
    <xf numFmtId="0" fontId="39" fillId="0" borderId="9" applyNumberFormat="0" applyFont="0" applyBorder="0">
      <alignment horizontal="right"/>
    </xf>
    <xf numFmtId="0" fontId="40" fillId="0" borderId="0" applyFill="0"/>
    <xf numFmtId="0" fontId="16" fillId="0" borderId="0" applyFill="0"/>
    <xf numFmtId="4" fontId="38" fillId="0" borderId="1" applyFill="0"/>
    <xf numFmtId="0" fontId="14" fillId="0" borderId="0" applyNumberFormat="0" applyFont="0" applyBorder="0" applyAlignment="0"/>
    <xf numFmtId="0" fontId="19" fillId="0" borderId="0" applyFill="0">
      <alignment horizontal="left" indent="1"/>
    </xf>
    <xf numFmtId="0" fontId="41" fillId="0" borderId="0" applyFill="0">
      <alignment horizontal="left" indent="1"/>
    </xf>
    <xf numFmtId="4" fontId="22" fillId="0" borderId="0" applyFill="0"/>
    <xf numFmtId="0" fontId="14" fillId="0" borderId="0" applyNumberFormat="0" applyFont="0" applyFill="0" applyBorder="0" applyAlignment="0"/>
    <xf numFmtId="0" fontId="19" fillId="0" borderId="0" applyFill="0">
      <alignment horizontal="left" indent="2"/>
    </xf>
    <xf numFmtId="0" fontId="16" fillId="0" borderId="0" applyFill="0">
      <alignment horizontal="left" indent="2"/>
    </xf>
    <xf numFmtId="4" fontId="22" fillId="0" borderId="0" applyFill="0"/>
    <xf numFmtId="0" fontId="14" fillId="0" borderId="0" applyNumberFormat="0" applyFont="0" applyBorder="0" applyAlignment="0"/>
    <xf numFmtId="0" fontId="42" fillId="0" borderId="0">
      <alignment horizontal="left" indent="3"/>
    </xf>
    <xf numFmtId="0" fontId="43" fillId="0" borderId="0" applyFill="0">
      <alignment horizontal="left" indent="3"/>
    </xf>
    <xf numFmtId="4" fontId="22" fillId="0" borderId="0" applyFill="0"/>
    <xf numFmtId="0" fontId="14" fillId="0" borderId="0" applyNumberFormat="0" applyFont="0" applyBorder="0" applyAlignment="0"/>
    <xf numFmtId="0" fontId="23" fillId="0" borderId="0">
      <alignment horizontal="left" indent="4"/>
    </xf>
    <xf numFmtId="0" fontId="24" fillId="0" borderId="0" applyFill="0">
      <alignment horizontal="left" indent="4"/>
    </xf>
    <xf numFmtId="0" fontId="14" fillId="0" borderId="0" applyFill="0">
      <alignment horizontal="left" indent="4"/>
    </xf>
    <xf numFmtId="4" fontId="25" fillId="0" borderId="0" applyFill="0"/>
    <xf numFmtId="0" fontId="14" fillId="0" borderId="0" applyNumberFormat="0" applyFont="0" applyBorder="0" applyAlignment="0"/>
    <xf numFmtId="0" fontId="26" fillId="0" borderId="0">
      <alignment horizontal="left" indent="5"/>
    </xf>
    <xf numFmtId="0" fontId="27" fillId="0" borderId="0" applyFill="0">
      <alignment horizontal="left" indent="5"/>
    </xf>
    <xf numFmtId="4" fontId="28" fillId="0" borderId="0" applyFill="0"/>
    <xf numFmtId="0" fontId="14" fillId="0" borderId="0" applyNumberFormat="0" applyFont="0" applyFill="0" applyBorder="0" applyAlignment="0"/>
    <xf numFmtId="0" fontId="29" fillId="0" borderId="0" applyFill="0">
      <alignment horizontal="left" indent="6"/>
    </xf>
    <xf numFmtId="0" fontId="25" fillId="0" borderId="0" applyFill="0">
      <alignment horizontal="left" indent="6"/>
    </xf>
    <xf numFmtId="0" fontId="63" fillId="0" borderId="12" applyNumberFormat="0" applyFont="0" applyFill="0" applyAlignment="0" applyProtection="0"/>
    <xf numFmtId="0" fontId="74" fillId="0" borderId="0" applyNumberFormat="0" applyFill="0" applyBorder="0" applyAlignment="0" applyProtection="0"/>
    <xf numFmtId="0" fontId="75" fillId="0" borderId="0"/>
    <xf numFmtId="0" fontId="75" fillId="0" borderId="0"/>
    <xf numFmtId="0" fontId="51" fillId="0" borderId="8">
      <alignment horizontal="right"/>
    </xf>
    <xf numFmtId="0" fontId="13" fillId="13" borderId="0"/>
    <xf numFmtId="260" fontId="61" fillId="0" borderId="0">
      <alignment horizontal="center"/>
    </xf>
    <xf numFmtId="261" fontId="76" fillId="0" borderId="0">
      <alignment horizontal="center"/>
    </xf>
    <xf numFmtId="0" fontId="77" fillId="0" borderId="0" applyNumberFormat="0" applyFill="0" applyBorder="0" applyAlignment="0" applyProtection="0"/>
    <xf numFmtId="0" fontId="78" fillId="0" borderId="0" applyNumberFormat="0" applyBorder="0" applyAlignment="0"/>
    <xf numFmtId="0" fontId="47" fillId="0" borderId="0" applyNumberFormat="0" applyBorder="0" applyAlignment="0"/>
    <xf numFmtId="0" fontId="14" fillId="9" borderId="4" applyNumberFormat="0" applyFont="0" applyAlignment="0"/>
    <xf numFmtId="0" fontId="63" fillId="3" borderId="0" applyNumberFormat="0" applyFont="0" applyBorder="0" applyAlignment="0" applyProtection="0"/>
    <xf numFmtId="242" fontId="79" fillId="0" borderId="7" applyNumberFormat="0" applyFont="0" applyFill="0" applyAlignment="0" applyProtection="0"/>
    <xf numFmtId="0" fontId="45" fillId="0" borderId="0" applyFill="0" applyBorder="0" applyProtection="0">
      <alignment horizontal="left" vertical="top"/>
    </xf>
    <xf numFmtId="0" fontId="80" fillId="0" borderId="0" applyAlignment="0">
      <alignment horizontal="centerContinuous"/>
    </xf>
    <xf numFmtId="0" fontId="14" fillId="0" borderId="3" applyNumberFormat="0" applyFont="0" applyFill="0" applyAlignment="0" applyProtection="0"/>
    <xf numFmtId="0" fontId="14" fillId="0" borderId="0" applyFont="0" applyFill="0" applyBorder="0" applyAlignment="0" applyProtection="0"/>
    <xf numFmtId="0" fontId="81" fillId="0" borderId="0" applyNumberFormat="0" applyFill="0" applyBorder="0" applyAlignment="0" applyProtection="0"/>
    <xf numFmtId="262" fontId="50" fillId="0" borderId="0" applyFont="0" applyFill="0" applyBorder="0" applyAlignment="0" applyProtection="0"/>
    <xf numFmtId="263" fontId="50" fillId="0" borderId="0" applyFont="0" applyFill="0" applyBorder="0" applyAlignment="0" applyProtection="0"/>
    <xf numFmtId="264" fontId="50" fillId="0" borderId="0" applyFont="0" applyFill="0" applyBorder="0" applyAlignment="0" applyProtection="0"/>
    <xf numFmtId="265" fontId="50" fillId="0" borderId="0" applyFont="0" applyFill="0" applyBorder="0" applyAlignment="0" applyProtection="0"/>
    <xf numFmtId="266" fontId="50" fillId="0" borderId="0" applyFont="0" applyFill="0" applyBorder="0" applyAlignment="0" applyProtection="0"/>
    <xf numFmtId="267" fontId="50" fillId="0" borderId="0" applyFont="0" applyFill="0" applyBorder="0" applyAlignment="0" applyProtection="0"/>
    <xf numFmtId="268" fontId="50" fillId="0" borderId="0" applyFont="0" applyFill="0" applyBorder="0" applyAlignment="0" applyProtection="0"/>
    <xf numFmtId="269" fontId="50" fillId="0" borderId="0" applyFont="0" applyFill="0" applyBorder="0" applyAlignment="0" applyProtection="0"/>
    <xf numFmtId="270" fontId="82" fillId="3" borderId="13" applyFont="0" applyFill="0" applyBorder="0" applyAlignment="0" applyProtection="0"/>
    <xf numFmtId="270" fontId="54" fillId="0" borderId="0" applyFont="0" applyFill="0" applyBorder="0" applyAlignment="0" applyProtection="0"/>
    <xf numFmtId="271" fontId="57" fillId="0" borderId="0" applyFont="0" applyFill="0" applyBorder="0" applyAlignment="0" applyProtection="0"/>
    <xf numFmtId="272" fontId="61" fillId="0" borderId="7" applyFont="0" applyFill="0" applyBorder="0" applyAlignment="0" applyProtection="0">
      <alignment horizontal="right"/>
      <protection locked="0"/>
    </xf>
    <xf numFmtId="43" fontId="10" fillId="0" borderId="0" applyFont="0" applyFill="0" applyBorder="0" applyAlignment="0" applyProtection="0"/>
    <xf numFmtId="43" fontId="7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101" fillId="0" borderId="0"/>
    <xf numFmtId="0" fontId="7" fillId="0" borderId="0"/>
    <xf numFmtId="43" fontId="7" fillId="0" borderId="0" applyFont="0" applyFill="0" applyBorder="0" applyAlignment="0" applyProtection="0"/>
    <xf numFmtId="0" fontId="14" fillId="0" borderId="0"/>
    <xf numFmtId="172" fontId="34" fillId="0" borderId="0" applyProtection="0"/>
    <xf numFmtId="0" fontId="6" fillId="0" borderId="0"/>
    <xf numFmtId="0" fontId="5" fillId="0" borderId="0"/>
    <xf numFmtId="172" fontId="34" fillId="0" borderId="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43" fontId="14" fillId="0" borderId="0" applyFont="0" applyFill="0" applyBorder="0" applyAlignment="0" applyProtection="0"/>
    <xf numFmtId="0" fontId="14" fillId="0" borderId="0"/>
    <xf numFmtId="0" fontId="116" fillId="0" borderId="0"/>
    <xf numFmtId="0" fontId="4" fillId="0" borderId="0"/>
    <xf numFmtId="0" fontId="4" fillId="0" borderId="0"/>
    <xf numFmtId="9" fontId="10" fillId="0" borderId="0" applyFont="0" applyFill="0" applyBorder="0" applyAlignment="0" applyProtection="0"/>
    <xf numFmtId="43" fontId="10" fillId="0" borderId="0" applyFont="0" applyFill="0" applyBorder="0" applyAlignment="0" applyProtection="0"/>
    <xf numFmtId="0" fontId="4" fillId="0" borderId="0"/>
    <xf numFmtId="43" fontId="10" fillId="0" borderId="0" applyFont="0" applyFill="0" applyBorder="0" applyAlignment="0" applyProtection="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0" fontId="143" fillId="0" borderId="0"/>
  </cellStyleXfs>
  <cellXfs count="1021">
    <xf numFmtId="172" fontId="0" fillId="0" borderId="0" xfId="0" applyAlignment="1"/>
    <xf numFmtId="0" fontId="61" fillId="0" borderId="0" xfId="206" applyFont="1" applyFill="1" applyBorder="1" applyAlignment="1">
      <alignment horizontal="center" wrapText="1"/>
    </xf>
    <xf numFmtId="0" fontId="54" fillId="0" borderId="0" xfId="201" applyNumberFormat="1" applyFont="1" applyFill="1" applyBorder="1" applyAlignment="1" applyProtection="1">
      <protection locked="0"/>
    </xf>
    <xf numFmtId="3" fontId="54" fillId="0" borderId="0" xfId="201" applyNumberFormat="1" applyFont="1" applyFill="1" applyBorder="1" applyAlignment="1"/>
    <xf numFmtId="3" fontId="54" fillId="0" borderId="0" xfId="201" applyNumberFormat="1" applyFont="1" applyFill="1" applyBorder="1" applyAlignment="1">
      <alignment horizontal="center"/>
    </xf>
    <xf numFmtId="0" fontId="54" fillId="0" borderId="0" xfId="201" applyNumberFormat="1" applyFont="1" applyFill="1" applyBorder="1" applyProtection="1">
      <protection locked="0"/>
    </xf>
    <xf numFmtId="0" fontId="54" fillId="0" borderId="0" xfId="201" applyNumberFormat="1" applyFont="1" applyFill="1" applyBorder="1"/>
    <xf numFmtId="172" fontId="54" fillId="0" borderId="0" xfId="211" applyFont="1" applyFill="1" applyAlignment="1"/>
    <xf numFmtId="3" fontId="54" fillId="0" borderId="0" xfId="211" applyNumberFormat="1" applyFont="1" applyFill="1" applyAlignment="1"/>
    <xf numFmtId="0" fontId="54" fillId="0" borderId="0" xfId="211" applyNumberFormat="1" applyFont="1" applyFill="1" applyAlignment="1"/>
    <xf numFmtId="164" fontId="54" fillId="0" borderId="0" xfId="211" applyNumberFormat="1" applyFont="1" applyFill="1" applyAlignment="1">
      <alignment horizontal="left"/>
    </xf>
    <xf numFmtId="10" fontId="54" fillId="0" borderId="0" xfId="211" applyNumberFormat="1" applyFont="1" applyFill="1" applyAlignment="1">
      <alignment horizontal="left"/>
    </xf>
    <xf numFmtId="164" fontId="54" fillId="0" borderId="0" xfId="211" applyNumberFormat="1" applyFont="1" applyFill="1" applyAlignment="1" applyProtection="1">
      <alignment horizontal="left"/>
      <protection locked="0"/>
    </xf>
    <xf numFmtId="172" fontId="54" fillId="0" borderId="1" xfId="201" applyFont="1" applyFill="1" applyBorder="1" applyAlignment="1"/>
    <xf numFmtId="172" fontId="54" fillId="0" borderId="15" xfId="201" applyFont="1" applyFill="1" applyBorder="1" applyAlignment="1"/>
    <xf numFmtId="43" fontId="54" fillId="0" borderId="0" xfId="59" applyFont="1" applyFill="1" applyBorder="1" applyAlignment="1"/>
    <xf numFmtId="172" fontId="85" fillId="0" borderId="0" xfId="201" applyFont="1" applyFill="1" applyBorder="1" applyAlignment="1"/>
    <xf numFmtId="172" fontId="54" fillId="0" borderId="0" xfId="201" applyFont="1" applyFill="1" applyBorder="1" applyAlignment="1">
      <alignment horizontal="right"/>
    </xf>
    <xf numFmtId="0" fontId="54" fillId="0" borderId="0" xfId="188" applyFont="1" applyFill="1"/>
    <xf numFmtId="0" fontId="54" fillId="0" borderId="0" xfId="201" applyNumberFormat="1" applyFont="1" applyFill="1" applyAlignment="1">
      <alignment horizontal="right"/>
    </xf>
    <xf numFmtId="0" fontId="86" fillId="0" borderId="0" xfId="201" applyNumberFormat="1" applyFont="1" applyFill="1" applyBorder="1"/>
    <xf numFmtId="0" fontId="86" fillId="0" borderId="0" xfId="201" applyNumberFormat="1" applyFont="1" applyFill="1" applyBorder="1" applyAlignment="1">
      <alignment horizontal="center"/>
    </xf>
    <xf numFmtId="49" fontId="54" fillId="0" borderId="0" xfId="201" applyNumberFormat="1" applyFont="1" applyFill="1" applyBorder="1"/>
    <xf numFmtId="3" fontId="54" fillId="0" borderId="0" xfId="201" applyNumberFormat="1" applyFont="1" applyFill="1" applyBorder="1"/>
    <xf numFmtId="0" fontId="54" fillId="0" borderId="0" xfId="201" applyNumberFormat="1" applyFont="1" applyFill="1" applyBorder="1" applyAlignment="1">
      <alignment horizontal="center"/>
    </xf>
    <xf numFmtId="49" fontId="54" fillId="0" borderId="0" xfId="201" applyNumberFormat="1" applyFont="1" applyFill="1" applyBorder="1" applyAlignment="1">
      <alignment horizontal="center"/>
    </xf>
    <xf numFmtId="0" fontId="54" fillId="0" borderId="0" xfId="201" applyNumberFormat="1" applyFont="1" applyFill="1" applyBorder="1" applyAlignment="1"/>
    <xf numFmtId="3" fontId="61" fillId="0" borderId="0" xfId="201" applyNumberFormat="1" applyFont="1" applyFill="1" applyBorder="1" applyAlignment="1">
      <alignment horizontal="center"/>
    </xf>
    <xf numFmtId="172" fontId="61" fillId="0" borderId="0" xfId="201" applyFont="1" applyFill="1" applyBorder="1" applyAlignment="1">
      <alignment horizontal="center"/>
    </xf>
    <xf numFmtId="0" fontId="61" fillId="0" borderId="0" xfId="201" applyNumberFormat="1" applyFont="1" applyFill="1" applyBorder="1" applyAlignment="1" applyProtection="1">
      <alignment horizontal="center"/>
      <protection locked="0"/>
    </xf>
    <xf numFmtId="0" fontId="61" fillId="0" borderId="0" xfId="201" applyNumberFormat="1" applyFont="1" applyFill="1" applyBorder="1" applyAlignment="1">
      <alignment horizontal="center"/>
    </xf>
    <xf numFmtId="0" fontId="61" fillId="0" borderId="0" xfId="201" applyNumberFormat="1" applyFont="1" applyFill="1" applyBorder="1" applyAlignment="1"/>
    <xf numFmtId="0" fontId="87" fillId="0" borderId="0" xfId="201" applyNumberFormat="1" applyFont="1" applyFill="1" applyBorder="1" applyAlignment="1" applyProtection="1">
      <alignment horizontal="center"/>
      <protection locked="0"/>
    </xf>
    <xf numFmtId="3" fontId="54" fillId="0" borderId="0" xfId="201" applyNumberFormat="1" applyFont="1" applyFill="1" applyBorder="1" applyAlignment="1">
      <alignment horizontal="left"/>
    </xf>
    <xf numFmtId="177" fontId="54" fillId="0" borderId="0" xfId="59" applyNumberFormat="1" applyFont="1" applyFill="1" applyBorder="1" applyAlignment="1"/>
    <xf numFmtId="10" fontId="88" fillId="0" borderId="0" xfId="266" applyNumberFormat="1" applyFont="1" applyFill="1" applyBorder="1" applyAlignment="1"/>
    <xf numFmtId="10" fontId="61" fillId="0" borderId="0" xfId="201" applyNumberFormat="1" applyFont="1" applyFill="1" applyBorder="1" applyAlignment="1"/>
    <xf numFmtId="3" fontId="61" fillId="0" borderId="0" xfId="201" applyNumberFormat="1" applyFont="1" applyFill="1" applyBorder="1" applyAlignment="1"/>
    <xf numFmtId="165" fontId="61" fillId="0" borderId="0" xfId="201" applyNumberFormat="1" applyFont="1" applyFill="1" applyBorder="1" applyAlignment="1"/>
    <xf numFmtId="10" fontId="54" fillId="0" borderId="0" xfId="201" applyNumberFormat="1" applyFont="1" applyFill="1" applyBorder="1" applyAlignment="1"/>
    <xf numFmtId="43" fontId="54" fillId="0" borderId="0" xfId="59" applyFont="1" applyFill="1" applyBorder="1" applyAlignment="1">
      <alignment horizontal="center"/>
    </xf>
    <xf numFmtId="49" fontId="61" fillId="0" borderId="0" xfId="201" applyNumberFormat="1" applyFont="1" applyFill="1" applyBorder="1" applyAlignment="1">
      <alignment horizontal="center"/>
    </xf>
    <xf numFmtId="172" fontId="61" fillId="0" borderId="0" xfId="201" applyFont="1" applyFill="1" applyBorder="1" applyAlignment="1"/>
    <xf numFmtId="3" fontId="61" fillId="0" borderId="0" xfId="201" applyNumberFormat="1" applyFont="1" applyFill="1" applyBorder="1" applyAlignment="1">
      <alignment horizontal="left"/>
    </xf>
    <xf numFmtId="10" fontId="61" fillId="0" borderId="0" xfId="266" applyNumberFormat="1" applyFont="1" applyFill="1" applyBorder="1" applyAlignment="1"/>
    <xf numFmtId="0" fontId="54" fillId="0" borderId="0" xfId="201" applyNumberFormat="1" applyFont="1" applyFill="1" applyBorder="1" applyAlignment="1">
      <alignment horizontal="fill"/>
    </xf>
    <xf numFmtId="172" fontId="89" fillId="0" borderId="0" xfId="201" applyFont="1" applyFill="1" applyBorder="1" applyAlignment="1"/>
    <xf numFmtId="3" fontId="89" fillId="0" borderId="0" xfId="201" applyNumberFormat="1" applyFont="1" applyFill="1" applyBorder="1" applyAlignment="1"/>
    <xf numFmtId="164" fontId="54" fillId="0" borderId="0" xfId="201" applyNumberFormat="1" applyFont="1" applyFill="1" applyBorder="1" applyAlignment="1">
      <alignment horizontal="left"/>
    </xf>
    <xf numFmtId="164" fontId="54" fillId="0" borderId="0" xfId="201" applyNumberFormat="1" applyFont="1" applyFill="1" applyBorder="1" applyAlignment="1">
      <alignment horizontal="center"/>
    </xf>
    <xf numFmtId="169" fontId="54" fillId="0" borderId="0" xfId="201" applyNumberFormat="1" applyFont="1" applyFill="1" applyBorder="1" applyAlignment="1"/>
    <xf numFmtId="0" fontId="89" fillId="0" borderId="0" xfId="201" applyNumberFormat="1" applyFont="1" applyFill="1" applyBorder="1"/>
    <xf numFmtId="49" fontId="54" fillId="0" borderId="0" xfId="201" applyNumberFormat="1" applyFont="1" applyFill="1" applyBorder="1" applyAlignment="1">
      <alignment horizontal="left"/>
    </xf>
    <xf numFmtId="0" fontId="54" fillId="0" borderId="0" xfId="201" applyNumberFormat="1" applyFont="1" applyFill="1" applyBorder="1" applyAlignment="1">
      <alignment horizontal="right"/>
    </xf>
    <xf numFmtId="175" fontId="61" fillId="0" borderId="0" xfId="201" applyNumberFormat="1" applyFont="1" applyFill="1" applyBorder="1" applyAlignment="1">
      <alignment horizontal="center"/>
    </xf>
    <xf numFmtId="172" fontId="61" fillId="0" borderId="16" xfId="201" applyFont="1" applyFill="1" applyBorder="1" applyAlignment="1">
      <alignment horizontal="center" wrapText="1"/>
    </xf>
    <xf numFmtId="172" fontId="61" fillId="0" borderId="7" xfId="201" applyFont="1" applyFill="1" applyBorder="1" applyAlignment="1"/>
    <xf numFmtId="172" fontId="61" fillId="0" borderId="7" xfId="201" applyFont="1" applyFill="1" applyBorder="1" applyAlignment="1">
      <alignment horizontal="center" wrapText="1"/>
    </xf>
    <xf numFmtId="0" fontId="61" fillId="0" borderId="7" xfId="201" applyNumberFormat="1" applyFont="1" applyFill="1" applyBorder="1" applyAlignment="1">
      <alignment horizontal="center" wrapText="1"/>
    </xf>
    <xf numFmtId="172" fontId="61" fillId="0" borderId="9" xfId="201" applyFont="1" applyFill="1" applyBorder="1" applyAlignment="1">
      <alignment horizontal="center" wrapText="1"/>
    </xf>
    <xf numFmtId="3" fontId="61" fillId="0" borderId="9" xfId="201" applyNumberFormat="1" applyFont="1" applyFill="1" applyBorder="1" applyAlignment="1">
      <alignment horizontal="center" wrapText="1"/>
    </xf>
    <xf numFmtId="0" fontId="54" fillId="0" borderId="16" xfId="201" applyNumberFormat="1" applyFont="1" applyFill="1" applyBorder="1"/>
    <xf numFmtId="0" fontId="54" fillId="0" borderId="7" xfId="201" applyNumberFormat="1" applyFont="1" applyFill="1" applyBorder="1"/>
    <xf numFmtId="0" fontId="54" fillId="0" borderId="7" xfId="201" applyNumberFormat="1" applyFont="1" applyFill="1" applyBorder="1" applyAlignment="1">
      <alignment horizontal="center"/>
    </xf>
    <xf numFmtId="0" fontId="54" fillId="0" borderId="9" xfId="201" applyNumberFormat="1" applyFont="1" applyFill="1" applyBorder="1" applyAlignment="1">
      <alignment horizontal="center"/>
    </xf>
    <xf numFmtId="3" fontId="54" fillId="0" borderId="9" xfId="201" applyNumberFormat="1" applyFont="1" applyFill="1" applyBorder="1" applyAlignment="1">
      <alignment horizontal="center" wrapText="1"/>
    </xf>
    <xf numFmtId="3" fontId="54" fillId="0" borderId="7" xfId="201" applyNumberFormat="1" applyFont="1" applyFill="1" applyBorder="1" applyAlignment="1">
      <alignment horizontal="center"/>
    </xf>
    <xf numFmtId="0" fontId="54" fillId="0" borderId="10" xfId="201" applyNumberFormat="1" applyFont="1" applyFill="1" applyBorder="1"/>
    <xf numFmtId="0" fontId="54" fillId="0" borderId="11" xfId="201" applyNumberFormat="1" applyFont="1" applyFill="1" applyBorder="1"/>
    <xf numFmtId="3" fontId="54" fillId="0" borderId="11" xfId="201" applyNumberFormat="1" applyFont="1" applyFill="1" applyBorder="1" applyAlignment="1"/>
    <xf numFmtId="172" fontId="54" fillId="0" borderId="10" xfId="209" applyFont="1" applyFill="1" applyBorder="1" applyAlignment="1"/>
    <xf numFmtId="172" fontId="54" fillId="0" borderId="0" xfId="209" applyFont="1" applyFill="1" applyBorder="1" applyAlignment="1"/>
    <xf numFmtId="43" fontId="54" fillId="0" borderId="11" xfId="59" applyFont="1" applyFill="1" applyBorder="1" applyAlignment="1"/>
    <xf numFmtId="172" fontId="54" fillId="0" borderId="10" xfId="201" applyFont="1" applyFill="1" applyBorder="1" applyAlignment="1"/>
    <xf numFmtId="172" fontId="54" fillId="0" borderId="17" xfId="201" applyFont="1" applyFill="1" applyBorder="1" applyAlignment="1"/>
    <xf numFmtId="173" fontId="54" fillId="0" borderId="0" xfId="59" applyNumberFormat="1" applyFont="1" applyFill="1" applyBorder="1" applyAlignment="1">
      <alignment horizontal="center"/>
    </xf>
    <xf numFmtId="1" fontId="54" fillId="0" borderId="0" xfId="59" applyNumberFormat="1" applyFont="1" applyFill="1" applyBorder="1" applyAlignment="1">
      <alignment horizontal="center"/>
    </xf>
    <xf numFmtId="172" fontId="54" fillId="0" borderId="8" xfId="201" applyFont="1" applyFill="1" applyBorder="1" applyAlignment="1"/>
    <xf numFmtId="172" fontId="54" fillId="0" borderId="0" xfId="201" applyFont="1" applyFill="1" applyBorder="1" applyAlignment="1">
      <alignment horizontal="center" vertical="top"/>
    </xf>
    <xf numFmtId="0" fontId="54" fillId="0" borderId="0" xfId="192" applyFont="1" applyFill="1" applyAlignment="1">
      <alignment horizontal="center"/>
    </xf>
    <xf numFmtId="43" fontId="54" fillId="0" borderId="0" xfId="59" applyFont="1" applyFill="1"/>
    <xf numFmtId="0" fontId="54" fillId="0" borderId="0" xfId="192" applyFont="1" applyFill="1" applyAlignment="1">
      <alignment horizontal="center" vertical="center" wrapText="1"/>
    </xf>
    <xf numFmtId="0" fontId="54" fillId="0" borderId="0" xfId="211" applyNumberFormat="1" applyFont="1" applyFill="1" applyAlignment="1" applyProtection="1">
      <protection locked="0"/>
    </xf>
    <xf numFmtId="0" fontId="54" fillId="0" borderId="0" xfId="211" applyNumberFormat="1" applyFont="1" applyFill="1"/>
    <xf numFmtId="43" fontId="54" fillId="0" borderId="0" xfId="59" applyFont="1" applyFill="1" applyAlignment="1"/>
    <xf numFmtId="3" fontId="54" fillId="0" borderId="0" xfId="211" applyNumberFormat="1" applyFont="1" applyFill="1" applyBorder="1"/>
    <xf numFmtId="0" fontId="54" fillId="0" borderId="0" xfId="211" applyNumberFormat="1" applyFont="1" applyFill="1" applyBorder="1"/>
    <xf numFmtId="0" fontId="54" fillId="0" borderId="0" xfId="211" applyNumberFormat="1" applyFont="1" applyFill="1" applyBorder="1" applyAlignment="1" applyProtection="1">
      <alignment horizontal="center"/>
      <protection locked="0"/>
    </xf>
    <xf numFmtId="172" fontId="54" fillId="0" borderId="0" xfId="211" applyFont="1" applyFill="1" applyBorder="1" applyAlignment="1"/>
    <xf numFmtId="0" fontId="54" fillId="0" borderId="0" xfId="211" applyNumberFormat="1" applyFont="1" applyFill="1" applyBorder="1" applyProtection="1">
      <protection locked="0"/>
    </xf>
    <xf numFmtId="0" fontId="54" fillId="0" borderId="0" xfId="211" applyNumberFormat="1" applyFont="1" applyFill="1" applyBorder="1" applyAlignment="1"/>
    <xf numFmtId="171" fontId="54" fillId="0" borderId="0" xfId="211" applyNumberFormat="1" applyFont="1" applyFill="1" applyBorder="1" applyProtection="1">
      <protection locked="0"/>
    </xf>
    <xf numFmtId="171" fontId="54" fillId="0" borderId="0" xfId="211" applyNumberFormat="1" applyFont="1" applyFill="1" applyProtection="1">
      <protection locked="0"/>
    </xf>
    <xf numFmtId="3" fontId="54" fillId="0" borderId="0" xfId="206" applyNumberFormat="1" applyFont="1" applyFill="1" applyBorder="1" applyAlignment="1"/>
    <xf numFmtId="0" fontId="54" fillId="0" borderId="0" xfId="206" applyFont="1" applyFill="1" applyBorder="1" applyAlignment="1"/>
    <xf numFmtId="3" fontId="54" fillId="0" borderId="0" xfId="206" applyNumberFormat="1" applyFont="1" applyFill="1" applyAlignment="1"/>
    <xf numFmtId="173" fontId="54" fillId="0" borderId="0" xfId="59" applyNumberFormat="1" applyFont="1" applyFill="1" applyAlignment="1"/>
    <xf numFmtId="3" fontId="54" fillId="0" borderId="0" xfId="188" applyNumberFormat="1" applyFont="1" applyFill="1" applyAlignment="1"/>
    <xf numFmtId="0" fontId="54" fillId="0" borderId="0" xfId="206" applyNumberFormat="1" applyFont="1" applyFill="1" applyAlignment="1"/>
    <xf numFmtId="173" fontId="54" fillId="0" borderId="8" xfId="59" applyNumberFormat="1" applyFont="1" applyFill="1" applyBorder="1" applyAlignment="1"/>
    <xf numFmtId="173" fontId="54" fillId="0" borderId="0" xfId="59" applyNumberFormat="1" applyFont="1" applyFill="1" applyAlignment="1">
      <alignment horizontal="right"/>
    </xf>
    <xf numFmtId="3" fontId="54" fillId="0" borderId="0" xfId="188" applyNumberFormat="1" applyFont="1" applyFill="1" applyBorder="1" applyAlignment="1"/>
    <xf numFmtId="0" fontId="54" fillId="0" borderId="8" xfId="211" applyNumberFormat="1" applyFont="1" applyFill="1" applyBorder="1" applyProtection="1">
      <protection locked="0"/>
    </xf>
    <xf numFmtId="0" fontId="54" fillId="0" borderId="8" xfId="211" applyNumberFormat="1" applyFont="1" applyFill="1" applyBorder="1"/>
    <xf numFmtId="3" fontId="54" fillId="0" borderId="0" xfId="211" applyNumberFormat="1" applyFont="1" applyFill="1" applyAlignment="1">
      <alignment horizontal="center"/>
    </xf>
    <xf numFmtId="49" fontId="54" fillId="0" borderId="0" xfId="211" applyNumberFormat="1" applyFont="1" applyFill="1"/>
    <xf numFmtId="49" fontId="54" fillId="0" borderId="0" xfId="211" applyNumberFormat="1" applyFont="1" applyFill="1" applyAlignment="1"/>
    <xf numFmtId="49" fontId="54" fillId="0" borderId="0" xfId="211" applyNumberFormat="1" applyFont="1" applyFill="1" applyAlignment="1">
      <alignment horizontal="center"/>
    </xf>
    <xf numFmtId="182" fontId="54" fillId="0" borderId="0" xfId="59" applyNumberFormat="1" applyFont="1" applyFill="1" applyAlignment="1">
      <alignment horizontal="right"/>
    </xf>
    <xf numFmtId="172" fontId="54" fillId="0" borderId="0" xfId="211" applyFont="1" applyFill="1" applyAlignment="1">
      <alignment horizontal="center"/>
    </xf>
    <xf numFmtId="173" fontId="54" fillId="0" borderId="0" xfId="59" applyNumberFormat="1" applyFont="1" applyFill="1" applyAlignment="1">
      <alignment horizontal="center"/>
    </xf>
    <xf numFmtId="172" fontId="54" fillId="0" borderId="0" xfId="211" applyFont="1" applyFill="1" applyAlignment="1" applyProtection="1"/>
    <xf numFmtId="3" fontId="54" fillId="0" borderId="0" xfId="211" applyNumberFormat="1" applyFont="1" applyFill="1" applyAlignment="1" applyProtection="1"/>
    <xf numFmtId="169" fontId="54" fillId="0" borderId="0" xfId="211" applyNumberFormat="1" applyFont="1" applyFill="1" applyBorder="1" applyAlignment="1" applyProtection="1"/>
    <xf numFmtId="175" fontId="61" fillId="0" borderId="0" xfId="201" quotePrefix="1" applyNumberFormat="1" applyFont="1" applyFill="1" applyBorder="1" applyAlignment="1">
      <alignment horizontal="center"/>
    </xf>
    <xf numFmtId="0" fontId="54" fillId="0" borderId="0" xfId="187" applyFont="1" applyFill="1" applyBorder="1" applyAlignment="1">
      <alignment horizontal="center"/>
    </xf>
    <xf numFmtId="172" fontId="54" fillId="0" borderId="0" xfId="0" applyFont="1" applyFill="1" applyAlignment="1"/>
    <xf numFmtId="172" fontId="54" fillId="0" borderId="0" xfId="0" applyFont="1" applyFill="1"/>
    <xf numFmtId="172" fontId="54" fillId="0" borderId="0" xfId="0" applyFont="1" applyFill="1" applyBorder="1"/>
    <xf numFmtId="174" fontId="54" fillId="0" borderId="0" xfId="93" applyNumberFormat="1" applyFont="1" applyFill="1" applyBorder="1"/>
    <xf numFmtId="172" fontId="54" fillId="0" borderId="1" xfId="0" applyFont="1" applyFill="1" applyBorder="1"/>
    <xf numFmtId="0" fontId="54" fillId="0" borderId="0" xfId="212" applyFont="1" applyFill="1"/>
    <xf numFmtId="0" fontId="54" fillId="0" borderId="22" xfId="201" applyNumberFormat="1" applyFont="1" applyFill="1" applyBorder="1"/>
    <xf numFmtId="0" fontId="54" fillId="0" borderId="7" xfId="201" applyNumberFormat="1" applyFont="1" applyFill="1" applyBorder="1" applyAlignment="1">
      <alignment horizontal="center" wrapText="1"/>
    </xf>
    <xf numFmtId="173" fontId="0" fillId="0" borderId="0" xfId="59" applyNumberFormat="1" applyFont="1" applyAlignment="1"/>
    <xf numFmtId="0" fontId="21" fillId="0" borderId="0" xfId="201" applyNumberFormat="1" applyFont="1" applyFill="1" applyBorder="1" applyAlignment="1" applyProtection="1">
      <protection locked="0"/>
    </xf>
    <xf numFmtId="0" fontId="21" fillId="0" borderId="0" xfId="201" applyNumberFormat="1" applyFont="1" applyFill="1" applyBorder="1" applyAlignment="1" applyProtection="1">
      <alignment horizontal="center"/>
      <protection locked="0"/>
    </xf>
    <xf numFmtId="3" fontId="21" fillId="0" borderId="0" xfId="201" applyNumberFormat="1" applyFont="1" applyFill="1" applyBorder="1" applyAlignment="1"/>
    <xf numFmtId="0" fontId="21" fillId="0" borderId="0" xfId="201" applyNumberFormat="1" applyFont="1" applyFill="1" applyBorder="1" applyProtection="1">
      <protection locked="0"/>
    </xf>
    <xf numFmtId="172" fontId="34" fillId="0" borderId="0" xfId="201" applyFill="1" applyBorder="1" applyAlignment="1"/>
    <xf numFmtId="0" fontId="21" fillId="0" borderId="0" xfId="201" applyNumberFormat="1" applyFont="1" applyFill="1" applyBorder="1"/>
    <xf numFmtId="0" fontId="44" fillId="0" borderId="0" xfId="211" applyNumberFormat="1" applyFont="1" applyFill="1" applyAlignment="1">
      <alignment horizontal="center"/>
    </xf>
    <xf numFmtId="172" fontId="44" fillId="0" borderId="0" xfId="0" applyFont="1" applyAlignment="1"/>
    <xf numFmtId="43" fontId="44" fillId="0" borderId="0" xfId="59" applyFont="1" applyAlignment="1"/>
    <xf numFmtId="173" fontId="44" fillId="0" borderId="0" xfId="59" applyNumberFormat="1" applyFont="1" applyAlignment="1" applyProtection="1">
      <alignment horizontal="center"/>
      <protection locked="0"/>
    </xf>
    <xf numFmtId="0" fontId="44" fillId="0" borderId="0" xfId="211" applyNumberFormat="1" applyFont="1" applyAlignment="1" applyProtection="1">
      <protection locked="0"/>
    </xf>
    <xf numFmtId="3" fontId="44" fillId="0" borderId="0" xfId="211" applyNumberFormat="1" applyFont="1" applyAlignment="1"/>
    <xf numFmtId="3" fontId="44" fillId="0" borderId="8" xfId="211" applyNumberFormat="1" applyFont="1" applyBorder="1" applyAlignment="1">
      <alignment horizontal="center"/>
    </xf>
    <xf numFmtId="169" fontId="44" fillId="0" borderId="0" xfId="0" applyNumberFormat="1" applyFont="1" applyAlignment="1"/>
    <xf numFmtId="0" fontId="44" fillId="0" borderId="0" xfId="211" applyNumberFormat="1" applyFont="1" applyAlignment="1"/>
    <xf numFmtId="3" fontId="44" fillId="0" borderId="0" xfId="211" applyNumberFormat="1" applyFont="1" applyAlignment="1">
      <alignment horizontal="center"/>
    </xf>
    <xf numFmtId="0" fontId="44" fillId="0" borderId="8" xfId="211" applyNumberFormat="1" applyFont="1" applyBorder="1" applyAlignment="1" applyProtection="1">
      <alignment horizontal="center"/>
      <protection locked="0"/>
    </xf>
    <xf numFmtId="172" fontId="44" fillId="0" borderId="0" xfId="211" applyFont="1" applyFill="1" applyAlignment="1"/>
    <xf numFmtId="172" fontId="44" fillId="0" borderId="0" xfId="211" applyFont="1" applyAlignment="1"/>
    <xf numFmtId="43" fontId="44" fillId="0" borderId="0" xfId="59" applyFont="1" applyFill="1" applyAlignment="1">
      <alignment horizontal="center"/>
    </xf>
    <xf numFmtId="3" fontId="44" fillId="0" borderId="0" xfId="211" applyNumberFormat="1" applyFont="1" applyFill="1" applyAlignment="1"/>
    <xf numFmtId="166" fontId="44" fillId="0" borderId="0" xfId="211" applyNumberFormat="1" applyFont="1" applyAlignment="1">
      <alignment horizontal="center"/>
    </xf>
    <xf numFmtId="164" fontId="44" fillId="0" borderId="0" xfId="211" applyNumberFormat="1" applyFont="1" applyAlignment="1">
      <alignment horizontal="left"/>
    </xf>
    <xf numFmtId="0" fontId="44" fillId="0" borderId="0" xfId="211" applyNumberFormat="1" applyFont="1" applyFill="1" applyAlignment="1"/>
    <xf numFmtId="164" fontId="44" fillId="0" borderId="0" xfId="211" applyNumberFormat="1" applyFont="1" applyFill="1" applyAlignment="1">
      <alignment horizontal="left"/>
    </xf>
    <xf numFmtId="173" fontId="44" fillId="0" borderId="0" xfId="59" applyNumberFormat="1" applyFont="1" applyBorder="1" applyAlignment="1"/>
    <xf numFmtId="10" fontId="44" fillId="0" borderId="0" xfId="211" applyNumberFormat="1" applyFont="1" applyFill="1" applyAlignment="1">
      <alignment horizontal="left"/>
    </xf>
    <xf numFmtId="3" fontId="44" fillId="0" borderId="0" xfId="188" applyNumberFormat="1" applyFont="1" applyAlignment="1"/>
    <xf numFmtId="166" fontId="44" fillId="0" borderId="0" xfId="188" applyNumberFormat="1" applyFont="1" applyAlignment="1"/>
    <xf numFmtId="0" fontId="44" fillId="0" borderId="0" xfId="188" applyFont="1" applyAlignment="1"/>
    <xf numFmtId="164" fontId="44" fillId="0" borderId="0" xfId="211" applyNumberFormat="1" applyFont="1" applyFill="1" applyAlignment="1" applyProtection="1">
      <alignment horizontal="left"/>
      <protection locked="0"/>
    </xf>
    <xf numFmtId="0" fontId="54" fillId="0" borderId="0" xfId="206" applyFont="1" applyFill="1" applyBorder="1" applyAlignment="1">
      <alignment horizontal="center" wrapText="1"/>
    </xf>
    <xf numFmtId="0" fontId="54" fillId="0" borderId="0" xfId="192" applyFont="1" applyFill="1" applyAlignment="1">
      <alignment horizontal="center" wrapText="1"/>
    </xf>
    <xf numFmtId="0" fontId="54" fillId="0" borderId="0" xfId="211" applyNumberFormat="1" applyFont="1" applyFill="1" applyAlignment="1" applyProtection="1">
      <alignment vertical="top"/>
      <protection locked="0"/>
    </xf>
    <xf numFmtId="169" fontId="54" fillId="0" borderId="0" xfId="211" applyNumberFormat="1" applyFont="1" applyFill="1" applyBorder="1" applyAlignment="1" applyProtection="1">
      <alignment vertical="top"/>
    </xf>
    <xf numFmtId="3" fontId="54" fillId="0" borderId="0" xfId="211" applyNumberFormat="1" applyFont="1" applyFill="1" applyAlignment="1" applyProtection="1">
      <alignment vertical="top"/>
    </xf>
    <xf numFmtId="1" fontId="54" fillId="0" borderId="0" xfId="0" applyNumberFormat="1" applyFont="1" applyFill="1" applyAlignment="1">
      <alignment horizontal="center"/>
    </xf>
    <xf numFmtId="49" fontId="54" fillId="0" borderId="0" xfId="0" applyNumberFormat="1" applyFont="1" applyFill="1" applyAlignment="1">
      <alignment horizontal="center"/>
    </xf>
    <xf numFmtId="173" fontId="44" fillId="0" borderId="0" xfId="59" applyNumberFormat="1" applyFont="1" applyAlignment="1"/>
    <xf numFmtId="172" fontId="54" fillId="0" borderId="0" xfId="0" applyFont="1" applyFill="1" applyAlignment="1">
      <alignment horizontal="center"/>
    </xf>
    <xf numFmtId="0" fontId="21" fillId="0" borderId="0" xfId="201" applyNumberFormat="1" applyFont="1" applyFill="1" applyBorder="1" applyAlignment="1">
      <alignment horizontal="center"/>
    </xf>
    <xf numFmtId="173" fontId="54" fillId="0" borderId="11" xfId="59" applyNumberFormat="1" applyFont="1" applyFill="1" applyBorder="1" applyAlignment="1"/>
    <xf numFmtId="173" fontId="54" fillId="0" borderId="15" xfId="59" applyNumberFormat="1" applyFont="1" applyFill="1" applyBorder="1" applyAlignment="1"/>
    <xf numFmtId="182" fontId="21" fillId="0" borderId="0" xfId="59" applyNumberFormat="1" applyFont="1" applyFill="1" applyAlignment="1">
      <alignment horizontal="right"/>
    </xf>
    <xf numFmtId="0" fontId="54" fillId="0" borderId="0" xfId="188" applyNumberFormat="1" applyFont="1" applyFill="1" applyAlignment="1">
      <alignment vertical="top"/>
    </xf>
    <xf numFmtId="172" fontId="96" fillId="0" borderId="0" xfId="201" applyFont="1" applyFill="1" applyBorder="1" applyAlignment="1"/>
    <xf numFmtId="173" fontId="0" fillId="0" borderId="0" xfId="59" applyNumberFormat="1" applyFont="1" applyAlignment="1">
      <alignment horizontal="center"/>
    </xf>
    <xf numFmtId="172" fontId="44" fillId="0" borderId="0" xfId="211" applyFont="1" applyFill="1" applyAlignment="1">
      <alignment wrapText="1"/>
    </xf>
    <xf numFmtId="173" fontId="44" fillId="0" borderId="0" xfId="59" applyNumberFormat="1" applyFont="1" applyAlignment="1">
      <alignment horizontal="left" indent="2"/>
    </xf>
    <xf numFmtId="182" fontId="44" fillId="0" borderId="0" xfId="59" applyNumberFormat="1" applyFont="1" applyAlignment="1"/>
    <xf numFmtId="0" fontId="44" fillId="0" borderId="0" xfId="201" applyNumberFormat="1" applyFont="1" applyFill="1" applyAlignment="1">
      <alignment horizontal="right"/>
    </xf>
    <xf numFmtId="0" fontId="83" fillId="0" borderId="0" xfId="192" applyFont="1" applyFill="1" applyBorder="1" applyAlignment="1">
      <alignment horizontal="center" vertical="center" wrapText="1"/>
    </xf>
    <xf numFmtId="0" fontId="83" fillId="0" borderId="0" xfId="192" applyFont="1" applyFill="1" applyBorder="1" applyAlignment="1">
      <alignment horizontal="center"/>
    </xf>
    <xf numFmtId="172" fontId="84" fillId="0" borderId="0" xfId="0" applyFont="1" applyFill="1" applyBorder="1" applyAlignment="1">
      <alignment horizontal="center"/>
    </xf>
    <xf numFmtId="174" fontId="83" fillId="0" borderId="0" xfId="93" applyNumberFormat="1" applyFont="1" applyFill="1" applyBorder="1"/>
    <xf numFmtId="0" fontId="83" fillId="0" borderId="0" xfId="192" applyFont="1" applyFill="1" applyBorder="1"/>
    <xf numFmtId="172" fontId="54" fillId="0" borderId="0" xfId="0" applyFont="1" applyFill="1" applyBorder="1" applyAlignment="1"/>
    <xf numFmtId="0" fontId="54" fillId="0" borderId="0" xfId="208" applyNumberFormat="1" applyFont="1" applyFill="1" applyBorder="1" applyAlignment="1" applyProtection="1">
      <alignment horizontal="center"/>
      <protection locked="0"/>
    </xf>
    <xf numFmtId="173" fontId="54" fillId="0" borderId="8" xfId="59" applyNumberFormat="1" applyFont="1" applyFill="1" applyBorder="1" applyAlignment="1">
      <alignment horizontal="center"/>
    </xf>
    <xf numFmtId="0" fontId="54" fillId="0" borderId="19" xfId="201" applyNumberFormat="1" applyFont="1" applyFill="1" applyBorder="1"/>
    <xf numFmtId="0" fontId="54" fillId="0" borderId="9" xfId="201" applyNumberFormat="1" applyFont="1" applyFill="1" applyBorder="1" applyAlignment="1">
      <alignment horizontal="center" wrapText="1"/>
    </xf>
    <xf numFmtId="44" fontId="54" fillId="0" borderId="0" xfId="0" applyNumberFormat="1" applyFont="1" applyFill="1" applyBorder="1" applyAlignment="1"/>
    <xf numFmtId="0" fontId="54" fillId="0" borderId="0" xfId="187" applyFont="1" applyFill="1" applyBorder="1" applyAlignment="1"/>
    <xf numFmtId="3" fontId="54" fillId="0" borderId="0" xfId="187" applyNumberFormat="1" applyFont="1" applyFill="1" applyBorder="1" applyAlignment="1">
      <alignment horizontal="center" wrapText="1"/>
    </xf>
    <xf numFmtId="0" fontId="54" fillId="0" borderId="0" xfId="187" applyFont="1" applyFill="1" applyBorder="1" applyAlignment="1">
      <alignment horizontal="center" wrapText="1"/>
    </xf>
    <xf numFmtId="173" fontId="54" fillId="0" borderId="0" xfId="59" applyNumberFormat="1" applyFont="1" applyFill="1" applyBorder="1" applyAlignment="1">
      <alignment horizontal="center" wrapText="1"/>
    </xf>
    <xf numFmtId="173" fontId="54" fillId="0" borderId="1" xfId="59" applyNumberFormat="1" applyFont="1" applyFill="1" applyBorder="1" applyAlignment="1">
      <alignment horizontal="center" wrapText="1"/>
    </xf>
    <xf numFmtId="173" fontId="54" fillId="0" borderId="0" xfId="59" applyNumberFormat="1" applyFont="1" applyFill="1" applyBorder="1"/>
    <xf numFmtId="0" fontId="54" fillId="0" borderId="0" xfId="0" applyNumberFormat="1" applyFont="1" applyFill="1" applyAlignment="1">
      <alignment horizontal="center"/>
    </xf>
    <xf numFmtId="0" fontId="61" fillId="0" borderId="0" xfId="212" applyFont="1" applyFill="1" applyAlignment="1">
      <alignment horizontal="center" wrapText="1"/>
    </xf>
    <xf numFmtId="0" fontId="54" fillId="0" borderId="0" xfId="211" applyNumberFormat="1" applyFont="1" applyFill="1" applyAlignment="1" applyProtection="1">
      <alignment horizontal="center"/>
      <protection locked="0"/>
    </xf>
    <xf numFmtId="164" fontId="54" fillId="0" borderId="0" xfId="211" applyNumberFormat="1" applyFont="1" applyFill="1" applyAlignment="1">
      <alignment horizontal="center"/>
    </xf>
    <xf numFmtId="172" fontId="54" fillId="0" borderId="0" xfId="0" applyNumberFormat="1" applyFont="1" applyFill="1" applyBorder="1" applyAlignment="1" applyProtection="1"/>
    <xf numFmtId="172" fontId="54" fillId="0" borderId="1" xfId="201" applyFont="1" applyFill="1" applyBorder="1" applyAlignment="1">
      <alignment horizontal="center"/>
    </xf>
    <xf numFmtId="172" fontId="54" fillId="0" borderId="19" xfId="201" applyFont="1" applyFill="1" applyBorder="1" applyAlignment="1">
      <alignment horizontal="center"/>
    </xf>
    <xf numFmtId="172" fontId="54" fillId="0" borderId="22" xfId="201" applyFont="1" applyFill="1" applyBorder="1" applyAlignment="1">
      <alignment horizontal="center"/>
    </xf>
    <xf numFmtId="172" fontId="54" fillId="0" borderId="17" xfId="201" applyFont="1" applyFill="1" applyBorder="1" applyAlignment="1">
      <alignment horizontal="center"/>
    </xf>
    <xf numFmtId="0" fontId="54" fillId="0" borderId="0" xfId="0" applyNumberFormat="1" applyFont="1" applyFill="1" applyAlignment="1">
      <alignment horizontal="center" vertical="top"/>
    </xf>
    <xf numFmtId="172" fontId="0" fillId="0" borderId="0" xfId="0" applyFill="1" applyAlignment="1"/>
    <xf numFmtId="0" fontId="54" fillId="0" borderId="0" xfId="192" applyFont="1" applyFill="1" applyAlignment="1">
      <alignment horizontal="left" wrapText="1"/>
    </xf>
    <xf numFmtId="0" fontId="54" fillId="0" borderId="0" xfId="206" applyNumberFormat="1" applyFont="1" applyFill="1" applyAlignment="1">
      <alignment horizontal="center" wrapText="1"/>
    </xf>
    <xf numFmtId="0" fontId="54" fillId="0" borderId="0" xfId="59" applyNumberFormat="1" applyFont="1" applyFill="1" applyBorder="1" applyAlignment="1">
      <alignment horizontal="center"/>
    </xf>
    <xf numFmtId="0" fontId="54" fillId="0" borderId="0" xfId="59" applyNumberFormat="1" applyFont="1" applyFill="1" applyBorder="1" applyAlignment="1" applyProtection="1">
      <alignment horizontal="center"/>
      <protection locked="0"/>
    </xf>
    <xf numFmtId="172" fontId="96" fillId="0" borderId="15" xfId="201" applyFont="1" applyFill="1" applyBorder="1" applyAlignment="1">
      <alignment horizontal="center"/>
    </xf>
    <xf numFmtId="174" fontId="54" fillId="0" borderId="17" xfId="93" applyNumberFormat="1" applyFont="1" applyFill="1" applyBorder="1"/>
    <xf numFmtId="0" fontId="61" fillId="0" borderId="0" xfId="59" applyNumberFormat="1" applyFont="1" applyFill="1" applyBorder="1" applyAlignment="1">
      <alignment horizontal="left"/>
    </xf>
    <xf numFmtId="0" fontId="54" fillId="0" borderId="0" xfId="59" applyNumberFormat="1" applyFont="1" applyFill="1" applyAlignment="1">
      <alignment horizontal="center"/>
    </xf>
    <xf numFmtId="0" fontId="54" fillId="0" borderId="0" xfId="59" applyNumberFormat="1" applyFont="1" applyFill="1" applyAlignment="1">
      <alignment horizontal="center" vertical="top"/>
    </xf>
    <xf numFmtId="172" fontId="54" fillId="0" borderId="0" xfId="0" applyFont="1" applyFill="1" applyAlignment="1">
      <alignment vertical="center" wrapText="1"/>
    </xf>
    <xf numFmtId="172" fontId="54" fillId="0" borderId="0" xfId="0" applyFont="1" applyFill="1" applyAlignment="1">
      <alignment horizontal="left" vertical="center"/>
    </xf>
    <xf numFmtId="0" fontId="54" fillId="0" borderId="0" xfId="0" applyNumberFormat="1" applyFont="1" applyFill="1" applyBorder="1" applyAlignment="1">
      <alignment vertical="top"/>
    </xf>
    <xf numFmtId="43" fontId="21" fillId="0" borderId="0" xfId="59" applyFont="1" applyFill="1" applyAlignment="1"/>
    <xf numFmtId="173" fontId="86" fillId="0" borderId="0" xfId="59" applyNumberFormat="1" applyFont="1" applyFill="1" applyBorder="1"/>
    <xf numFmtId="43" fontId="54" fillId="0" borderId="0" xfId="59" applyNumberFormat="1" applyFont="1" applyFill="1" applyBorder="1" applyAlignment="1"/>
    <xf numFmtId="172" fontId="54" fillId="0" borderId="0" xfId="201" applyFont="1" applyFill="1" applyBorder="1" applyAlignment="1"/>
    <xf numFmtId="173" fontId="54" fillId="0" borderId="0" xfId="59" applyNumberFormat="1" applyFont="1" applyFill="1" applyBorder="1" applyAlignment="1"/>
    <xf numFmtId="172" fontId="54" fillId="0" borderId="0" xfId="201" applyFont="1" applyFill="1" applyBorder="1" applyAlignment="1">
      <alignment horizontal="center"/>
    </xf>
    <xf numFmtId="0" fontId="54" fillId="0" borderId="0" xfId="211" applyNumberFormat="1" applyFont="1" applyFill="1" applyProtection="1">
      <protection locked="0"/>
    </xf>
    <xf numFmtId="43" fontId="54" fillId="0" borderId="0" xfId="59" applyFont="1" applyFill="1" applyBorder="1"/>
    <xf numFmtId="43" fontId="54" fillId="0" borderId="0" xfId="59" applyFont="1" applyFill="1" applyAlignment="1" applyProtection="1">
      <alignment vertical="top"/>
      <protection locked="0"/>
    </xf>
    <xf numFmtId="0" fontId="54" fillId="0" borderId="0" xfId="211" applyNumberFormat="1" applyFont="1" applyFill="1" applyAlignment="1">
      <alignment horizontal="center"/>
    </xf>
    <xf numFmtId="172" fontId="0" fillId="0" borderId="0" xfId="201" applyFont="1" applyFill="1" applyBorder="1" applyAlignment="1"/>
    <xf numFmtId="168" fontId="54" fillId="0" borderId="0" xfId="211" applyNumberFormat="1" applyFont="1" applyFill="1" applyAlignment="1"/>
    <xf numFmtId="173" fontId="83" fillId="0" borderId="15" xfId="59" applyNumberFormat="1" applyFont="1" applyFill="1" applyBorder="1" applyAlignment="1"/>
    <xf numFmtId="10" fontId="54" fillId="0" borderId="0" xfId="266" applyNumberFormat="1" applyFont="1" applyFill="1" applyAlignment="1">
      <alignment horizontal="right"/>
    </xf>
    <xf numFmtId="10" fontId="54" fillId="0" borderId="0" xfId="266" applyNumberFormat="1" applyFont="1" applyFill="1" applyAlignment="1"/>
    <xf numFmtId="0" fontId="21" fillId="0" borderId="0" xfId="383" applyNumberFormat="1" applyFont="1" applyFill="1" applyAlignment="1">
      <alignment horizontal="center"/>
    </xf>
    <xf numFmtId="0" fontId="78" fillId="0" borderId="0" xfId="383" applyFont="1" applyFill="1" applyBorder="1" applyAlignment="1">
      <alignment horizontal="center"/>
    </xf>
    <xf numFmtId="0" fontId="78" fillId="0" borderId="0" xfId="383" applyFont="1" applyFill="1" applyBorder="1"/>
    <xf numFmtId="0" fontId="21" fillId="0" borderId="0" xfId="383" applyNumberFormat="1" applyFont="1" applyFill="1" applyBorder="1" applyAlignment="1">
      <alignment horizontal="center"/>
    </xf>
    <xf numFmtId="0" fontId="21" fillId="0" borderId="0" xfId="383" applyFont="1" applyFill="1" applyBorder="1" applyAlignment="1">
      <alignment horizontal="center"/>
    </xf>
    <xf numFmtId="274" fontId="21" fillId="0" borderId="0" xfId="266" applyNumberFormat="1" applyFont="1" applyFill="1" applyBorder="1" applyAlignment="1">
      <alignment horizontal="center"/>
    </xf>
    <xf numFmtId="0" fontId="78" fillId="0" borderId="0" xfId="383" applyFont="1" applyFill="1" applyBorder="1" applyAlignment="1">
      <alignment horizontal="center" wrapText="1"/>
    </xf>
    <xf numFmtId="10" fontId="102" fillId="0" borderId="0" xfId="383" applyNumberFormat="1" applyFont="1" applyFill="1" applyBorder="1"/>
    <xf numFmtId="10" fontId="78" fillId="0" borderId="0" xfId="383" applyNumberFormat="1" applyFont="1" applyFill="1" applyBorder="1"/>
    <xf numFmtId="0" fontId="103" fillId="0" borderId="0" xfId="383" applyFont="1" applyFill="1" applyBorder="1"/>
    <xf numFmtId="0" fontId="54" fillId="0" borderId="0" xfId="206" applyNumberFormat="1" applyFont="1" applyFill="1" applyBorder="1" applyAlignment="1">
      <alignment horizontal="left"/>
    </xf>
    <xf numFmtId="0" fontId="44" fillId="0" borderId="0" xfId="390" applyNumberFormat="1" applyFont="1" applyFill="1" applyAlignment="1" applyProtection="1">
      <alignment horizontal="right"/>
      <protection locked="0"/>
    </xf>
    <xf numFmtId="0" fontId="5" fillId="0" borderId="0" xfId="389" applyFill="1" applyBorder="1"/>
    <xf numFmtId="9" fontId="106" fillId="0" borderId="0" xfId="391" applyNumberFormat="1" applyFont="1" applyFill="1" applyBorder="1" applyAlignment="1">
      <alignment horizontal="center"/>
    </xf>
    <xf numFmtId="10" fontId="105" fillId="0" borderId="0" xfId="391" applyNumberFormat="1" applyFont="1" applyFill="1" applyBorder="1" applyAlignment="1">
      <alignment horizontal="center"/>
    </xf>
    <xf numFmtId="0" fontId="0" fillId="0" borderId="0" xfId="389" applyFont="1" applyFill="1" applyBorder="1"/>
    <xf numFmtId="0" fontId="107" fillId="0" borderId="0" xfId="389" applyFont="1" applyFill="1" applyBorder="1"/>
    <xf numFmtId="173" fontId="105" fillId="0" borderId="0" xfId="392" applyNumberFormat="1" applyFont="1" applyFill="1" applyBorder="1"/>
    <xf numFmtId="0" fontId="99" fillId="0" borderId="0" xfId="393" applyFont="1" applyFill="1" applyBorder="1" applyAlignment="1">
      <alignment horizontal="center" vertical="center" wrapText="1"/>
    </xf>
    <xf numFmtId="0" fontId="99" fillId="0" borderId="0" xfId="393" applyFont="1" applyFill="1" applyBorder="1"/>
    <xf numFmtId="0" fontId="105" fillId="0" borderId="0" xfId="389" applyFont="1" applyFill="1" applyBorder="1"/>
    <xf numFmtId="0" fontId="99" fillId="0" borderId="0" xfId="393" applyFont="1" applyFill="1" applyBorder="1" applyAlignment="1">
      <alignment horizontal="left" vertical="center"/>
    </xf>
    <xf numFmtId="15" fontId="99" fillId="0" borderId="0" xfId="393" applyNumberFormat="1" applyFont="1" applyFill="1" applyBorder="1" applyAlignment="1">
      <alignment vertical="center" wrapText="1"/>
    </xf>
    <xf numFmtId="173" fontId="99" fillId="0" borderId="0" xfId="394" applyNumberFormat="1" applyFont="1" applyFill="1" applyBorder="1" applyAlignment="1">
      <alignment horizontal="right" vertical="center" wrapText="1"/>
    </xf>
    <xf numFmtId="173" fontId="99" fillId="0" borderId="0" xfId="394" applyNumberFormat="1" applyFont="1" applyFill="1" applyBorder="1" applyAlignment="1">
      <alignment vertical="center" wrapText="1"/>
    </xf>
    <xf numFmtId="10" fontId="99" fillId="0" borderId="0" xfId="391" applyNumberFormat="1" applyFont="1" applyFill="1" applyBorder="1"/>
    <xf numFmtId="43" fontId="105" fillId="0" borderId="0" xfId="392" applyFont="1" applyFill="1" applyBorder="1"/>
    <xf numFmtId="43" fontId="105" fillId="0" borderId="0" xfId="392" applyFont="1" applyFill="1"/>
    <xf numFmtId="0" fontId="105" fillId="0" borderId="0" xfId="389" applyFont="1" applyFill="1"/>
    <xf numFmtId="10" fontId="105" fillId="0" borderId="0" xfId="391" applyNumberFormat="1" applyFont="1" applyFill="1" applyBorder="1"/>
    <xf numFmtId="182" fontId="0" fillId="0" borderId="0" xfId="392" applyNumberFormat="1" applyFont="1" applyFill="1" applyBorder="1"/>
    <xf numFmtId="9" fontId="0" fillId="0" borderId="0" xfId="391" applyFont="1" applyFill="1" applyBorder="1"/>
    <xf numFmtId="49" fontId="44" fillId="0" borderId="0" xfId="390" applyNumberFormat="1" applyFont="1" applyFill="1" applyAlignment="1"/>
    <xf numFmtId="0" fontId="5" fillId="0" borderId="0" xfId="389" applyFill="1" applyAlignment="1">
      <alignment horizontal="left"/>
    </xf>
    <xf numFmtId="41" fontId="109" fillId="0" borderId="0" xfId="389" applyNumberFormat="1" applyFont="1" applyFill="1" applyBorder="1" applyAlignment="1">
      <alignment horizontal="center"/>
    </xf>
    <xf numFmtId="0" fontId="108" fillId="0" borderId="0" xfId="389" applyFont="1" applyFill="1" applyBorder="1" applyAlignment="1">
      <alignment horizontal="right"/>
    </xf>
    <xf numFmtId="0" fontId="108" fillId="0" borderId="0" xfId="389" applyFont="1" applyFill="1" applyBorder="1"/>
    <xf numFmtId="0" fontId="109" fillId="0" borderId="0" xfId="389" applyFont="1" applyFill="1" applyBorder="1"/>
    <xf numFmtId="41" fontId="108" fillId="0" borderId="0" xfId="389" applyNumberFormat="1" applyFont="1" applyFill="1" applyBorder="1"/>
    <xf numFmtId="274" fontId="108" fillId="0" borderId="0" xfId="391" applyNumberFormat="1" applyFont="1" applyFill="1" applyBorder="1"/>
    <xf numFmtId="274" fontId="108" fillId="0" borderId="0" xfId="389" applyNumberFormat="1" applyFont="1" applyFill="1" applyBorder="1"/>
    <xf numFmtId="0" fontId="108" fillId="0" borderId="0" xfId="389" applyFont="1" applyFill="1" applyAlignment="1">
      <alignment horizontal="left"/>
    </xf>
    <xf numFmtId="41" fontId="108" fillId="0" borderId="0" xfId="389" applyNumberFormat="1" applyFont="1" applyFill="1" applyAlignment="1">
      <alignment horizontal="left"/>
    </xf>
    <xf numFmtId="41" fontId="108" fillId="0" borderId="0" xfId="389" applyNumberFormat="1" applyFont="1" applyFill="1"/>
    <xf numFmtId="0" fontId="108" fillId="0" borderId="0" xfId="389" applyFont="1" applyFill="1"/>
    <xf numFmtId="41" fontId="109" fillId="0" borderId="0" xfId="389" applyNumberFormat="1" applyFont="1" applyFill="1" applyAlignment="1">
      <alignment horizontal="center"/>
    </xf>
    <xf numFmtId="0" fontId="109" fillId="0" borderId="0" xfId="389" applyFont="1" applyFill="1" applyAlignment="1">
      <alignment horizontal="center"/>
    </xf>
    <xf numFmtId="0" fontId="5" fillId="0" borderId="0" xfId="389" applyFill="1" applyBorder="1" applyAlignment="1">
      <alignment horizontal="left"/>
    </xf>
    <xf numFmtId="41" fontId="108" fillId="0" borderId="9" xfId="389" applyNumberFormat="1" applyFont="1" applyFill="1" applyBorder="1"/>
    <xf numFmtId="0" fontId="111" fillId="0" borderId="9" xfId="389" applyFont="1" applyFill="1" applyBorder="1"/>
    <xf numFmtId="37" fontId="108" fillId="0" borderId="9" xfId="389" applyNumberFormat="1" applyFont="1" applyFill="1" applyBorder="1"/>
    <xf numFmtId="0" fontId="112" fillId="0" borderId="0" xfId="389" applyFont="1" applyFill="1" applyBorder="1"/>
    <xf numFmtId="41" fontId="112" fillId="0" borderId="0" xfId="389" applyNumberFormat="1" applyFont="1" applyFill="1" applyBorder="1"/>
    <xf numFmtId="41" fontId="108" fillId="0" borderId="0" xfId="389" applyNumberFormat="1" applyFont="1" applyFill="1" applyBorder="1" applyAlignment="1">
      <alignment horizontal="center"/>
    </xf>
    <xf numFmtId="37" fontId="108" fillId="0" borderId="0" xfId="389" applyNumberFormat="1" applyFont="1" applyFill="1" applyBorder="1" applyAlignment="1">
      <alignment horizontal="center"/>
    </xf>
    <xf numFmtId="0" fontId="111" fillId="0" borderId="19" xfId="389" applyFont="1" applyFill="1" applyBorder="1"/>
    <xf numFmtId="41" fontId="111" fillId="0" borderId="3" xfId="389" applyNumberFormat="1" applyFont="1" applyFill="1" applyBorder="1"/>
    <xf numFmtId="41" fontId="108" fillId="0" borderId="3" xfId="389" applyNumberFormat="1" applyFont="1" applyFill="1" applyBorder="1"/>
    <xf numFmtId="41" fontId="108" fillId="0" borderId="3" xfId="389" applyNumberFormat="1" applyFont="1" applyFill="1" applyBorder="1" applyAlignment="1">
      <alignment horizontal="center"/>
    </xf>
    <xf numFmtId="0" fontId="108" fillId="0" borderId="20" xfId="389" applyFont="1" applyFill="1" applyBorder="1" applyAlignment="1">
      <alignment horizontal="center"/>
    </xf>
    <xf numFmtId="0" fontId="111" fillId="0" borderId="10" xfId="389" applyFont="1" applyFill="1" applyBorder="1" applyAlignment="1">
      <alignment horizontal="left"/>
    </xf>
    <xf numFmtId="41" fontId="111" fillId="0" borderId="0" xfId="389" applyNumberFormat="1" applyFont="1" applyFill="1" applyBorder="1" applyAlignment="1">
      <alignment horizontal="left"/>
    </xf>
    <xf numFmtId="0" fontId="108" fillId="0" borderId="12" xfId="389" applyFont="1" applyFill="1" applyBorder="1" applyAlignment="1">
      <alignment horizontal="center"/>
    </xf>
    <xf numFmtId="0" fontId="111" fillId="0" borderId="17" xfId="389" applyFont="1" applyFill="1" applyBorder="1" applyAlignment="1">
      <alignment horizontal="left"/>
    </xf>
    <xf numFmtId="41" fontId="111" fillId="0" borderId="1" xfId="389" applyNumberFormat="1" applyFont="1" applyFill="1" applyBorder="1" applyAlignment="1">
      <alignment horizontal="left"/>
    </xf>
    <xf numFmtId="41" fontId="108" fillId="0" borderId="1" xfId="389" applyNumberFormat="1" applyFont="1" applyFill="1" applyBorder="1"/>
    <xf numFmtId="41" fontId="108" fillId="0" borderId="1" xfId="389" applyNumberFormat="1" applyFont="1" applyFill="1" applyBorder="1" applyAlignment="1">
      <alignment horizontal="center"/>
    </xf>
    <xf numFmtId="0" fontId="108" fillId="0" borderId="21" xfId="389" applyFont="1" applyFill="1" applyBorder="1" applyAlignment="1">
      <alignment horizontal="center"/>
    </xf>
    <xf numFmtId="0" fontId="39" fillId="0" borderId="0" xfId="389" applyFont="1" applyFill="1" applyBorder="1" applyAlignment="1">
      <alignment horizontal="center"/>
    </xf>
    <xf numFmtId="41" fontId="39" fillId="0" borderId="0" xfId="389" applyNumberFormat="1" applyFont="1" applyFill="1" applyBorder="1" applyAlignment="1">
      <alignment horizontal="center"/>
    </xf>
    <xf numFmtId="0" fontId="111" fillId="0" borderId="0" xfId="389" applyFont="1" applyFill="1" applyBorder="1"/>
    <xf numFmtId="41" fontId="14" fillId="0" borderId="0" xfId="389" applyNumberFormat="1" applyFont="1" applyFill="1" applyBorder="1" applyAlignment="1"/>
    <xf numFmtId="41" fontId="113" fillId="0" borderId="0" xfId="389" applyNumberFormat="1" applyFont="1" applyFill="1" applyBorder="1"/>
    <xf numFmtId="37" fontId="108" fillId="0" borderId="0" xfId="389" applyNumberFormat="1" applyFont="1" applyFill="1" applyBorder="1"/>
    <xf numFmtId="41" fontId="111" fillId="0" borderId="0" xfId="389" applyNumberFormat="1" applyFont="1" applyFill="1" applyBorder="1"/>
    <xf numFmtId="0" fontId="108" fillId="0" borderId="0" xfId="389" applyFont="1" applyFill="1" applyBorder="1" applyAlignment="1">
      <alignment horizontal="center"/>
    </xf>
    <xf numFmtId="0" fontId="111" fillId="0" borderId="24" xfId="389" applyFont="1" applyFill="1" applyBorder="1"/>
    <xf numFmtId="41" fontId="111" fillId="0" borderId="25" xfId="389" applyNumberFormat="1" applyFont="1" applyFill="1" applyBorder="1"/>
    <xf numFmtId="41" fontId="108" fillId="0" borderId="25" xfId="389" applyNumberFormat="1" applyFont="1" applyFill="1" applyBorder="1"/>
    <xf numFmtId="41" fontId="108" fillId="0" borderId="25" xfId="389" applyNumberFormat="1" applyFont="1" applyFill="1" applyBorder="1" applyAlignment="1">
      <alignment horizontal="center"/>
    </xf>
    <xf numFmtId="0" fontId="108" fillId="0" borderId="26" xfId="389" applyFont="1" applyFill="1" applyBorder="1" applyAlignment="1">
      <alignment horizontal="center"/>
    </xf>
    <xf numFmtId="41" fontId="111" fillId="0" borderId="0" xfId="389" applyNumberFormat="1" applyFont="1" applyFill="1" applyBorder="1" applyAlignment="1">
      <alignment horizontal="left" wrapText="1"/>
    </xf>
    <xf numFmtId="0" fontId="108" fillId="0" borderId="27" xfId="389" applyFont="1" applyFill="1" applyBorder="1" applyAlignment="1">
      <alignment horizontal="center"/>
    </xf>
    <xf numFmtId="41" fontId="111" fillId="0" borderId="8" xfId="389" applyNumberFormat="1" applyFont="1" applyFill="1" applyBorder="1" applyAlignment="1">
      <alignment horizontal="left"/>
    </xf>
    <xf numFmtId="41" fontId="108" fillId="0" borderId="8" xfId="389" applyNumberFormat="1" applyFont="1" applyFill="1" applyBorder="1"/>
    <xf numFmtId="41" fontId="108" fillId="0" borderId="8" xfId="389" applyNumberFormat="1" applyFont="1" applyFill="1" applyBorder="1" applyAlignment="1">
      <alignment horizontal="center"/>
    </xf>
    <xf numFmtId="0" fontId="108" fillId="0" borderId="28" xfId="389" applyFont="1" applyFill="1" applyBorder="1" applyAlignment="1">
      <alignment horizontal="center"/>
    </xf>
    <xf numFmtId="0" fontId="111" fillId="0" borderId="0" xfId="389" applyFont="1" applyFill="1" applyBorder="1" applyAlignment="1">
      <alignment horizontal="left"/>
    </xf>
    <xf numFmtId="0" fontId="96" fillId="0" borderId="0" xfId="389" applyFont="1" applyFill="1" applyBorder="1"/>
    <xf numFmtId="41" fontId="96" fillId="0" borderId="0" xfId="389" applyNumberFormat="1" applyFont="1" applyFill="1" applyBorder="1"/>
    <xf numFmtId="41" fontId="108" fillId="0" borderId="9" xfId="392" applyNumberFormat="1" applyFont="1" applyFill="1" applyBorder="1" applyAlignment="1">
      <alignment horizontal="right"/>
    </xf>
    <xf numFmtId="41" fontId="108" fillId="0" borderId="0" xfId="392" applyNumberFormat="1" applyFont="1" applyFill="1" applyBorder="1" applyAlignment="1">
      <alignment horizontal="right"/>
    </xf>
    <xf numFmtId="173" fontId="108" fillId="0" borderId="0" xfId="392" applyNumberFormat="1" applyFont="1" applyFill="1" applyBorder="1"/>
    <xf numFmtId="10" fontId="108" fillId="0" borderId="0" xfId="391" applyNumberFormat="1" applyFont="1" applyFill="1" applyBorder="1"/>
    <xf numFmtId="0" fontId="108" fillId="0" borderId="0" xfId="389" applyFont="1" applyFill="1" applyBorder="1" applyAlignment="1">
      <alignment horizontal="left"/>
    </xf>
    <xf numFmtId="41" fontId="108" fillId="0" borderId="0" xfId="389" applyNumberFormat="1" applyFont="1" applyFill="1" applyBorder="1" applyAlignment="1">
      <alignment horizontal="left"/>
    </xf>
    <xf numFmtId="0" fontId="111" fillId="0" borderId="29" xfId="389" applyFont="1" applyFill="1" applyBorder="1" applyAlignment="1">
      <alignment horizontal="left"/>
    </xf>
    <xf numFmtId="0" fontId="39" fillId="0" borderId="0" xfId="389" applyFont="1" applyFill="1" applyBorder="1" applyAlignment="1"/>
    <xf numFmtId="49" fontId="100" fillId="0" borderId="0" xfId="390" applyNumberFormat="1" applyFont="1" applyFill="1" applyAlignment="1">
      <alignment horizontal="center"/>
    </xf>
    <xf numFmtId="0" fontId="114" fillId="0" borderId="0" xfId="184" applyFont="1" applyFill="1"/>
    <xf numFmtId="0" fontId="14" fillId="0" borderId="0" xfId="184" applyFont="1" applyFill="1"/>
    <xf numFmtId="173" fontId="39" fillId="0" borderId="0" xfId="59" applyNumberFormat="1" applyFont="1" applyFill="1" applyAlignment="1"/>
    <xf numFmtId="0" fontId="21" fillId="0" borderId="0" xfId="0" applyNumberFormat="1" applyFont="1" applyFill="1" applyBorder="1" applyAlignment="1">
      <alignment horizontal="left"/>
    </xf>
    <xf numFmtId="172" fontId="115" fillId="0" borderId="0" xfId="0" applyFont="1" applyFill="1" applyBorder="1" applyAlignment="1">
      <alignment horizontal="center"/>
    </xf>
    <xf numFmtId="3" fontId="54" fillId="0" borderId="0" xfId="188" applyNumberFormat="1" applyFont="1" applyFill="1" applyAlignment="1">
      <alignment wrapText="1"/>
    </xf>
    <xf numFmtId="172" fontId="54" fillId="0" borderId="12" xfId="0" applyFont="1" applyFill="1" applyBorder="1" applyAlignment="1">
      <alignment horizontal="center"/>
    </xf>
    <xf numFmtId="172" fontId="54" fillId="0" borderId="0" xfId="0" applyFont="1" applyFill="1" applyAlignment="1">
      <alignment horizontal="center" wrapText="1"/>
    </xf>
    <xf numFmtId="173" fontId="44" fillId="0" borderId="0" xfId="59" applyNumberFormat="1" applyFont="1" applyFill="1" applyAlignment="1">
      <alignment horizontal="center"/>
    </xf>
    <xf numFmtId="173" fontId="54" fillId="0" borderId="0" xfId="211" applyNumberFormat="1" applyFont="1" applyFill="1" applyBorder="1"/>
    <xf numFmtId="43" fontId="78" fillId="0" borderId="0" xfId="59" applyFont="1" applyFill="1" applyBorder="1"/>
    <xf numFmtId="43" fontId="21" fillId="0" borderId="0" xfId="59" applyFont="1" applyFill="1" applyBorder="1" applyAlignment="1"/>
    <xf numFmtId="273" fontId="54" fillId="0" borderId="0" xfId="59" applyNumberFormat="1" applyFont="1" applyFill="1" applyBorder="1" applyAlignment="1"/>
    <xf numFmtId="172" fontId="54" fillId="0" borderId="0" xfId="0" applyFont="1" applyFill="1" applyBorder="1" applyAlignment="1">
      <alignment horizontal="center" wrapText="1"/>
    </xf>
    <xf numFmtId="10" fontId="54" fillId="0" borderId="0" xfId="266" applyNumberFormat="1" applyFont="1" applyFill="1" applyBorder="1"/>
    <xf numFmtId="172" fontId="54" fillId="0" borderId="3" xfId="0" applyFont="1" applyFill="1" applyBorder="1" applyAlignment="1">
      <alignment horizontal="center"/>
    </xf>
    <xf numFmtId="172" fontId="54" fillId="0" borderId="20" xfId="0" applyFont="1" applyFill="1" applyBorder="1" applyAlignment="1">
      <alignment horizontal="center"/>
    </xf>
    <xf numFmtId="172" fontId="96" fillId="0" borderId="12" xfId="201" applyFont="1" applyFill="1" applyBorder="1" applyAlignment="1"/>
    <xf numFmtId="172" fontId="96" fillId="0" borderId="12" xfId="201" applyFont="1" applyFill="1" applyBorder="1" applyAlignment="1">
      <alignment horizontal="center"/>
    </xf>
    <xf numFmtId="43" fontId="54" fillId="0" borderId="1" xfId="59" applyFont="1" applyFill="1" applyBorder="1"/>
    <xf numFmtId="172" fontId="54" fillId="0" borderId="17" xfId="0" applyFont="1" applyFill="1" applyBorder="1"/>
    <xf numFmtId="43" fontId="54" fillId="0" borderId="21" xfId="59" applyFont="1" applyFill="1" applyBorder="1"/>
    <xf numFmtId="172" fontId="96" fillId="0" borderId="0" xfId="201" applyFont="1" applyFill="1" applyBorder="1" applyAlignment="1">
      <alignment horizontal="center" wrapText="1"/>
    </xf>
    <xf numFmtId="43" fontId="54" fillId="0" borderId="12" xfId="59" applyFont="1" applyFill="1" applyBorder="1"/>
    <xf numFmtId="172" fontId="54" fillId="0" borderId="10" xfId="0" applyFont="1" applyFill="1" applyBorder="1"/>
    <xf numFmtId="172" fontId="54" fillId="0" borderId="0" xfId="201" applyFont="1" applyFill="1" applyBorder="1" applyAlignment="1">
      <alignment horizontal="center" wrapText="1"/>
    </xf>
    <xf numFmtId="3" fontId="54" fillId="0" borderId="0" xfId="211" applyNumberFormat="1" applyFont="1" applyFill="1" applyAlignment="1">
      <alignment wrapText="1"/>
    </xf>
    <xf numFmtId="3" fontId="54" fillId="0" borderId="0" xfId="211" quotePrefix="1" applyNumberFormat="1" applyFont="1" applyFill="1" applyAlignment="1">
      <alignment horizontal="left"/>
    </xf>
    <xf numFmtId="173" fontId="105" fillId="0" borderId="0" xfId="392" applyNumberFormat="1" applyFont="1" applyFill="1"/>
    <xf numFmtId="182" fontId="105" fillId="0" borderId="0" xfId="392" applyNumberFormat="1" applyFont="1" applyFill="1" applyBorder="1" applyAlignment="1">
      <alignment horizontal="center"/>
    </xf>
    <xf numFmtId="0" fontId="14" fillId="0" borderId="0" xfId="389" applyFont="1" applyFill="1" applyBorder="1" applyAlignment="1">
      <alignment horizontal="left"/>
    </xf>
    <xf numFmtId="0" fontId="54" fillId="0" borderId="0" xfId="211" applyNumberFormat="1" applyFont="1" applyFill="1" applyAlignment="1" applyProtection="1">
      <alignment vertical="top" wrapText="1"/>
      <protection locked="0"/>
    </xf>
    <xf numFmtId="172" fontId="54" fillId="0" borderId="0" xfId="201" applyFont="1" applyFill="1" applyBorder="1" applyAlignment="1">
      <alignment horizontal="left"/>
    </xf>
    <xf numFmtId="172" fontId="54" fillId="0" borderId="0" xfId="0" applyFont="1" applyFill="1" applyBorder="1" applyAlignment="1">
      <alignment horizontal="center"/>
    </xf>
    <xf numFmtId="0" fontId="54" fillId="0" borderId="0" xfId="201" applyNumberFormat="1" applyFont="1" applyFill="1" applyBorder="1" applyAlignment="1" applyProtection="1">
      <alignment horizontal="center"/>
      <protection locked="0"/>
    </xf>
    <xf numFmtId="49" fontId="84" fillId="0" borderId="0" xfId="0" applyNumberFormat="1" applyFont="1" applyFill="1" applyAlignment="1">
      <alignment horizontal="center"/>
    </xf>
    <xf numFmtId="172" fontId="54" fillId="0" borderId="0" xfId="0" applyFont="1" applyFill="1" applyAlignment="1">
      <alignment horizontal="right"/>
    </xf>
    <xf numFmtId="49" fontId="54" fillId="0" borderId="0" xfId="0" applyNumberFormat="1" applyFont="1" applyFill="1" applyAlignment="1">
      <alignment horizontal="center" vertical="center" wrapText="1"/>
    </xf>
    <xf numFmtId="172" fontId="54" fillId="0" borderId="0" xfId="0" applyFont="1" applyFill="1" applyAlignment="1">
      <alignment horizontal="center" vertical="center" wrapText="1"/>
    </xf>
    <xf numFmtId="0" fontId="54" fillId="0" borderId="0" xfId="212" applyFont="1" applyFill="1" applyAlignment="1">
      <alignment horizontal="center"/>
    </xf>
    <xf numFmtId="0" fontId="54" fillId="0" borderId="0" xfId="212" applyFont="1" applyFill="1" applyAlignment="1">
      <alignment horizontal="center" wrapText="1"/>
    </xf>
    <xf numFmtId="172" fontId="84" fillId="0" borderId="0" xfId="0" applyFont="1" applyFill="1" applyAlignment="1">
      <alignment horizontal="center"/>
    </xf>
    <xf numFmtId="0" fontId="54" fillId="0" borderId="0" xfId="192" applyFont="1" applyFill="1" applyAlignment="1">
      <alignment wrapText="1"/>
    </xf>
    <xf numFmtId="0" fontId="54" fillId="0" borderId="0" xfId="192" applyFont="1" applyFill="1"/>
    <xf numFmtId="173" fontId="54" fillId="0" borderId="0" xfId="59" applyNumberFormat="1" applyFont="1" applyFill="1"/>
    <xf numFmtId="0" fontId="54" fillId="0" borderId="3" xfId="192" applyFont="1" applyFill="1" applyBorder="1"/>
    <xf numFmtId="0" fontId="83" fillId="0" borderId="0" xfId="192" applyFont="1" applyFill="1"/>
    <xf numFmtId="3" fontId="54" fillId="0" borderId="0" xfId="211" applyNumberFormat="1" applyFont="1" applyFill="1" applyBorder="1" applyAlignment="1">
      <alignment horizontal="center"/>
    </xf>
    <xf numFmtId="43" fontId="54" fillId="0" borderId="0" xfId="192" applyNumberFormat="1" applyFont="1" applyFill="1"/>
    <xf numFmtId="0" fontId="54" fillId="0" borderId="8" xfId="211" applyNumberFormat="1" applyFont="1" applyFill="1" applyBorder="1" applyAlignment="1" applyProtection="1">
      <alignment horizontal="center"/>
      <protection locked="0"/>
    </xf>
    <xf numFmtId="3" fontId="54" fillId="0" borderId="0" xfId="211" quotePrefix="1" applyNumberFormat="1" applyFont="1" applyFill="1" applyAlignment="1"/>
    <xf numFmtId="10" fontId="54" fillId="0" borderId="8" xfId="266" applyNumberFormat="1" applyFont="1" applyFill="1" applyBorder="1" applyAlignment="1"/>
    <xf numFmtId="0" fontId="54" fillId="0" borderId="0" xfId="188" applyFont="1" applyFill="1" applyAlignment="1">
      <alignment horizontal="right"/>
    </xf>
    <xf numFmtId="172" fontId="54" fillId="0" borderId="0" xfId="211" applyNumberFormat="1" applyFont="1" applyFill="1" applyAlignment="1" applyProtection="1">
      <protection locked="0"/>
    </xf>
    <xf numFmtId="0" fontId="91" fillId="0" borderId="0" xfId="211" applyNumberFormat="1" applyFont="1" applyFill="1"/>
    <xf numFmtId="173" fontId="54" fillId="0" borderId="0" xfId="59" applyNumberFormat="1" applyFont="1" applyFill="1" applyAlignment="1" applyProtection="1">
      <alignment horizontal="center"/>
      <protection locked="0"/>
    </xf>
    <xf numFmtId="173" fontId="54" fillId="0" borderId="8" xfId="59" applyNumberFormat="1" applyFont="1" applyFill="1" applyBorder="1" applyAlignment="1" applyProtection="1">
      <alignment horizontal="center"/>
      <protection locked="0"/>
    </xf>
    <xf numFmtId="3" fontId="54" fillId="0" borderId="0" xfId="211" applyNumberFormat="1" applyFont="1" applyFill="1"/>
    <xf numFmtId="0" fontId="54" fillId="0" borderId="8" xfId="211" applyNumberFormat="1" applyFont="1" applyFill="1" applyBorder="1" applyAlignment="1" applyProtection="1">
      <alignment horizontal="centerContinuous"/>
      <protection locked="0"/>
    </xf>
    <xf numFmtId="3" fontId="54" fillId="0" borderId="0" xfId="211" applyNumberFormat="1" applyFont="1" applyFill="1" applyAlignment="1">
      <alignment horizontal="left"/>
    </xf>
    <xf numFmtId="3" fontId="54" fillId="0" borderId="0" xfId="211" applyNumberFormat="1" applyFont="1" applyFill="1" applyAlignment="1">
      <alignment horizontal="fill"/>
    </xf>
    <xf numFmtId="173" fontId="54" fillId="0" borderId="18" xfId="59" applyNumberFormat="1" applyFont="1" applyFill="1" applyBorder="1" applyAlignment="1" applyProtection="1">
      <alignment horizontal="right"/>
      <protection locked="0"/>
    </xf>
    <xf numFmtId="169" fontId="85" fillId="0" borderId="0" xfId="0" applyNumberFormat="1" applyFont="1" applyFill="1" applyAlignment="1"/>
    <xf numFmtId="172" fontId="85" fillId="0" borderId="0" xfId="0" applyFont="1" applyFill="1" applyAlignment="1"/>
    <xf numFmtId="0" fontId="54" fillId="0" borderId="0" xfId="206" applyNumberFormat="1" applyFont="1" applyFill="1" applyBorder="1"/>
    <xf numFmtId="3" fontId="54" fillId="0" borderId="0" xfId="211" applyNumberFormat="1" applyFont="1" applyFill="1" applyBorder="1" applyAlignment="1">
      <alignment horizontal="fill"/>
    </xf>
    <xf numFmtId="3" fontId="54" fillId="0" borderId="0" xfId="211" applyNumberFormat="1" applyFont="1" applyFill="1" applyBorder="1" applyAlignment="1"/>
    <xf numFmtId="0" fontId="54" fillId="0" borderId="0" xfId="206" applyNumberFormat="1" applyFont="1" applyFill="1" applyAlignment="1" applyProtection="1">
      <alignment horizontal="center"/>
      <protection locked="0"/>
    </xf>
    <xf numFmtId="0" fontId="54" fillId="0" borderId="0" xfId="206" applyNumberFormat="1" applyFont="1" applyFill="1" applyBorder="1" applyAlignment="1"/>
    <xf numFmtId="166" fontId="54" fillId="0" borderId="0" xfId="206" applyNumberFormat="1" applyFont="1" applyFill="1" applyBorder="1" applyAlignment="1"/>
    <xf numFmtId="173" fontId="54" fillId="0" borderId="0" xfId="59" applyNumberFormat="1" applyFont="1" applyFill="1" applyBorder="1" applyAlignment="1" applyProtection="1">
      <alignment horizontal="right"/>
      <protection locked="0"/>
    </xf>
    <xf numFmtId="168" fontId="54" fillId="0" borderId="0" xfId="211" applyNumberFormat="1" applyFont="1" applyFill="1"/>
    <xf numFmtId="0" fontId="54" fillId="0" borderId="0" xfId="211" applyNumberFormat="1" applyFont="1" applyFill="1" applyAlignment="1">
      <alignment horizontal="right"/>
    </xf>
    <xf numFmtId="3" fontId="61" fillId="0" borderId="0" xfId="211" applyNumberFormat="1" applyFont="1" applyFill="1" applyAlignment="1">
      <alignment horizontal="center"/>
    </xf>
    <xf numFmtId="0" fontId="61" fillId="0" borderId="0" xfId="211" applyNumberFormat="1" applyFont="1" applyFill="1" applyAlignment="1" applyProtection="1">
      <alignment horizontal="center"/>
      <protection locked="0"/>
    </xf>
    <xf numFmtId="172" fontId="61" fillId="0" borderId="0" xfId="211" applyFont="1" applyFill="1" applyAlignment="1">
      <alignment horizontal="center"/>
    </xf>
    <xf numFmtId="3" fontId="61" fillId="0" borderId="0" xfId="211" applyNumberFormat="1" applyFont="1" applyFill="1" applyAlignment="1"/>
    <xf numFmtId="0" fontId="61" fillId="0" borderId="0" xfId="211" applyNumberFormat="1" applyFont="1" applyFill="1" applyAlignment="1"/>
    <xf numFmtId="165" fontId="54" fillId="0" borderId="0" xfId="211" applyNumberFormat="1" applyFont="1" applyFill="1" applyAlignment="1"/>
    <xf numFmtId="0" fontId="54" fillId="0" borderId="0" xfId="206" applyFont="1" applyFill="1" applyAlignment="1"/>
    <xf numFmtId="0" fontId="54" fillId="0" borderId="0" xfId="188" applyNumberFormat="1" applyFont="1" applyFill="1"/>
    <xf numFmtId="173" fontId="54" fillId="0" borderId="18" xfId="59" applyNumberFormat="1" applyFont="1" applyFill="1" applyBorder="1" applyAlignment="1"/>
    <xf numFmtId="164" fontId="54" fillId="0" borderId="0" xfId="188" applyNumberFormat="1" applyFont="1" applyFill="1" applyAlignment="1">
      <alignment horizontal="center"/>
    </xf>
    <xf numFmtId="172" fontId="21" fillId="0" borderId="0" xfId="0" applyFont="1" applyFill="1"/>
    <xf numFmtId="172" fontId="21" fillId="0" borderId="0" xfId="0" applyFont="1" applyFill="1" applyBorder="1" applyAlignment="1">
      <alignment horizontal="left"/>
    </xf>
    <xf numFmtId="3" fontId="21" fillId="0" borderId="0" xfId="0" applyNumberFormat="1" applyFont="1" applyFill="1" applyBorder="1" applyAlignment="1"/>
    <xf numFmtId="172" fontId="21" fillId="0" borderId="0" xfId="0" applyFont="1" applyFill="1" applyBorder="1"/>
    <xf numFmtId="3" fontId="58" fillId="0" borderId="0" xfId="0" applyNumberFormat="1" applyFont="1" applyFill="1" applyBorder="1" applyAlignment="1">
      <alignment horizontal="right"/>
    </xf>
    <xf numFmtId="3" fontId="54" fillId="0" borderId="0" xfId="211" applyNumberFormat="1" applyFont="1" applyFill="1" applyAlignment="1">
      <alignment horizontal="right"/>
    </xf>
    <xf numFmtId="172" fontId="21" fillId="0" borderId="0" xfId="0" applyFont="1" applyFill="1" applyAlignment="1">
      <alignment horizontal="center"/>
    </xf>
    <xf numFmtId="0" fontId="54" fillId="0" borderId="0" xfId="211" applyNumberFormat="1" applyFont="1" applyFill="1" applyAlignment="1">
      <alignment wrapText="1"/>
    </xf>
    <xf numFmtId="0" fontId="54" fillId="0" borderId="0" xfId="211" quotePrefix="1" applyNumberFormat="1" applyFont="1" applyFill="1" applyAlignment="1">
      <alignment horizontal="left"/>
    </xf>
    <xf numFmtId="0" fontId="54" fillId="0" borderId="0" xfId="0" applyNumberFormat="1" applyFont="1" applyFill="1" applyAlignment="1">
      <alignment horizontal="left"/>
    </xf>
    <xf numFmtId="166" fontId="54" fillId="0" borderId="0" xfId="211" applyNumberFormat="1" applyFont="1" applyFill="1" applyAlignment="1"/>
    <xf numFmtId="166" fontId="54" fillId="0" borderId="0" xfId="188" applyNumberFormat="1" applyFont="1" applyFill="1" applyAlignment="1"/>
    <xf numFmtId="0" fontId="54" fillId="0" borderId="0" xfId="188" applyFont="1" applyFill="1" applyAlignment="1"/>
    <xf numFmtId="173" fontId="54" fillId="0" borderId="8" xfId="59" applyNumberFormat="1" applyFont="1" applyFill="1" applyBorder="1" applyAlignment="1">
      <alignment horizontal="right"/>
    </xf>
    <xf numFmtId="167" fontId="54" fillId="0" borderId="0" xfId="211" applyNumberFormat="1" applyFont="1" applyFill="1" applyAlignment="1"/>
    <xf numFmtId="166" fontId="54" fillId="0" borderId="0" xfId="188" applyNumberFormat="1" applyFont="1" applyFill="1" applyAlignment="1">
      <alignment horizontal="center"/>
    </xf>
    <xf numFmtId="173" fontId="54" fillId="0" borderId="14" xfId="59" applyNumberFormat="1" applyFont="1" applyFill="1" applyBorder="1" applyAlignment="1"/>
    <xf numFmtId="0" fontId="54" fillId="0" borderId="0" xfId="188" applyNumberFormat="1" applyFont="1" applyFill="1" applyAlignment="1"/>
    <xf numFmtId="172" fontId="54" fillId="0" borderId="0" xfId="211" applyFont="1" applyFill="1" applyAlignment="1">
      <alignment horizontal="right"/>
    </xf>
    <xf numFmtId="0" fontId="84" fillId="0" borderId="0" xfId="211" applyNumberFormat="1" applyFont="1" applyFill="1" applyAlignment="1" applyProtection="1">
      <alignment horizontal="center"/>
      <protection locked="0"/>
    </xf>
    <xf numFmtId="3" fontId="84" fillId="0" borderId="0" xfId="211" applyNumberFormat="1" applyFont="1" applyFill="1" applyAlignment="1"/>
    <xf numFmtId="172" fontId="84" fillId="0" borderId="0" xfId="0" applyFont="1" applyFill="1" applyAlignment="1"/>
    <xf numFmtId="3" fontId="54" fillId="0" borderId="8" xfId="211" applyNumberFormat="1" applyFont="1" applyFill="1" applyBorder="1" applyAlignment="1"/>
    <xf numFmtId="3" fontId="54" fillId="0" borderId="8" xfId="211" applyNumberFormat="1" applyFont="1" applyFill="1" applyBorder="1" applyAlignment="1">
      <alignment horizontal="center"/>
    </xf>
    <xf numFmtId="4" fontId="54" fillId="0" borderId="0" xfId="211" applyNumberFormat="1" applyFont="1" applyFill="1" applyAlignment="1"/>
    <xf numFmtId="3" fontId="54" fillId="0" borderId="0" xfId="188" applyNumberFormat="1" applyFont="1" applyFill="1" applyBorder="1" applyAlignment="1">
      <alignment horizontal="center"/>
    </xf>
    <xf numFmtId="0" fontId="54" fillId="0" borderId="8" xfId="188" applyNumberFormat="1" applyFont="1" applyFill="1" applyBorder="1" applyAlignment="1">
      <alignment horizontal="center"/>
    </xf>
    <xf numFmtId="0" fontId="54" fillId="0" borderId="0" xfId="188" applyNumberFormat="1" applyFont="1" applyFill="1" applyAlignment="1">
      <alignment horizontal="center"/>
    </xf>
    <xf numFmtId="169" fontId="54" fillId="0" borderId="0" xfId="211" applyNumberFormat="1" applyFont="1" applyFill="1" applyAlignment="1" applyProtection="1">
      <alignment horizontal="right"/>
      <protection locked="0"/>
    </xf>
    <xf numFmtId="169" fontId="54" fillId="0" borderId="0" xfId="211" applyNumberFormat="1" applyFont="1" applyFill="1" applyProtection="1">
      <protection locked="0"/>
    </xf>
    <xf numFmtId="0" fontId="54" fillId="0" borderId="0" xfId="211" applyNumberFormat="1" applyFont="1" applyFill="1" applyAlignment="1" applyProtection="1">
      <alignment horizontal="left" indent="8"/>
      <protection locked="0"/>
    </xf>
    <xf numFmtId="3" fontId="54" fillId="0" borderId="0" xfId="211" applyNumberFormat="1" applyFont="1" applyFill="1" applyAlignment="1">
      <alignment vertical="top" wrapText="1"/>
    </xf>
    <xf numFmtId="172" fontId="54" fillId="0" borderId="0" xfId="0" applyFont="1" applyFill="1" applyAlignment="1">
      <alignment vertical="top"/>
    </xf>
    <xf numFmtId="0" fontId="54" fillId="0" borderId="0" xfId="388" applyFont="1" applyFill="1" applyAlignment="1">
      <alignment vertical="center"/>
    </xf>
    <xf numFmtId="0" fontId="54" fillId="0" borderId="0" xfId="59" applyNumberFormat="1" applyFont="1" applyFill="1" applyBorder="1" applyAlignment="1"/>
    <xf numFmtId="172" fontId="54" fillId="0" borderId="19" xfId="0" applyFont="1" applyFill="1" applyBorder="1"/>
    <xf numFmtId="172" fontId="54" fillId="0" borderId="22" xfId="0" applyFont="1" applyFill="1" applyBorder="1" applyAlignment="1">
      <alignment horizontal="center"/>
    </xf>
    <xf numFmtId="172" fontId="54" fillId="0" borderId="3" xfId="0" applyFont="1" applyFill="1" applyBorder="1"/>
    <xf numFmtId="172" fontId="54" fillId="0" borderId="20" xfId="0" applyFont="1" applyFill="1" applyBorder="1"/>
    <xf numFmtId="172" fontId="54" fillId="0" borderId="17" xfId="0" applyFont="1" applyFill="1" applyBorder="1" applyAlignment="1"/>
    <xf numFmtId="172" fontId="54" fillId="0" borderId="15" xfId="0" applyFont="1" applyFill="1" applyBorder="1" applyAlignment="1">
      <alignment horizontal="center"/>
    </xf>
    <xf numFmtId="172" fontId="54" fillId="0" borderId="1" xfId="0" applyFont="1" applyFill="1" applyBorder="1" applyAlignment="1"/>
    <xf numFmtId="172" fontId="54" fillId="0" borderId="21" xfId="0" applyFont="1" applyFill="1" applyBorder="1" applyAlignment="1"/>
    <xf numFmtId="172" fontId="54" fillId="0" borderId="22" xfId="0" applyFont="1" applyFill="1" applyBorder="1"/>
    <xf numFmtId="172" fontId="54" fillId="0" borderId="11" xfId="0" applyFont="1" applyFill="1" applyBorder="1"/>
    <xf numFmtId="172" fontId="54" fillId="0" borderId="9" xfId="0" applyFont="1" applyFill="1" applyBorder="1" applyAlignment="1">
      <alignment horizontal="center"/>
    </xf>
    <xf numFmtId="172" fontId="54" fillId="0" borderId="11" xfId="0" applyFont="1" applyFill="1" applyBorder="1" applyAlignment="1">
      <alignment horizontal="center"/>
    </xf>
    <xf numFmtId="172" fontId="54" fillId="0" borderId="10" xfId="0" applyFont="1" applyFill="1" applyBorder="1" applyAlignment="1">
      <alignment horizontal="center"/>
    </xf>
    <xf numFmtId="172" fontId="54" fillId="0" borderId="19" xfId="0" applyFont="1" applyFill="1" applyBorder="1" applyAlignment="1">
      <alignment horizontal="center"/>
    </xf>
    <xf numFmtId="172" fontId="54" fillId="0" borderId="15" xfId="0" applyFont="1" applyFill="1" applyBorder="1"/>
    <xf numFmtId="10" fontId="54" fillId="0" borderId="15" xfId="266" applyNumberFormat="1" applyFont="1" applyFill="1" applyBorder="1"/>
    <xf numFmtId="172" fontId="54" fillId="0" borderId="0" xfId="201" applyFont="1" applyFill="1" applyAlignment="1"/>
    <xf numFmtId="172" fontId="54" fillId="0" borderId="0" xfId="201" applyFont="1" applyFill="1" applyAlignment="1">
      <alignment horizontal="center"/>
    </xf>
    <xf numFmtId="172" fontId="54" fillId="0" borderId="10" xfId="201" applyFont="1" applyFill="1" applyBorder="1" applyAlignment="1">
      <alignment horizontal="center"/>
    </xf>
    <xf numFmtId="172" fontId="54" fillId="0" borderId="11" xfId="201" applyFont="1" applyFill="1" applyBorder="1" applyAlignment="1">
      <alignment horizontal="center"/>
    </xf>
    <xf numFmtId="0" fontId="54" fillId="0" borderId="0" xfId="210" applyFont="1" applyFill="1"/>
    <xf numFmtId="0" fontId="84" fillId="0" borderId="0" xfId="0" applyNumberFormat="1" applyFont="1" applyFill="1" applyAlignment="1">
      <alignment horizontal="center"/>
    </xf>
    <xf numFmtId="0" fontId="54" fillId="0" borderId="0" xfId="212" applyFont="1" applyFill="1" applyAlignment="1">
      <alignment horizontal="right"/>
    </xf>
    <xf numFmtId="0" fontId="61" fillId="0" borderId="0" xfId="212" applyFont="1" applyFill="1" applyAlignment="1">
      <alignment horizontal="centerContinuous"/>
    </xf>
    <xf numFmtId="0" fontId="61" fillId="0" borderId="0" xfId="212" applyFont="1" applyFill="1" applyAlignment="1">
      <alignment horizontal="center"/>
    </xf>
    <xf numFmtId="0" fontId="54" fillId="0" borderId="0" xfId="0" applyNumberFormat="1" applyFont="1" applyFill="1" applyAlignment="1">
      <alignment horizontal="center" wrapText="1"/>
    </xf>
    <xf numFmtId="172" fontId="54" fillId="0" borderId="0" xfId="0" applyFont="1" applyFill="1" applyAlignment="1">
      <alignment wrapText="1"/>
    </xf>
    <xf numFmtId="3" fontId="54" fillId="0" borderId="0" xfId="188" applyNumberFormat="1" applyFont="1" applyFill="1" applyAlignment="1">
      <alignment horizontal="left" wrapText="1"/>
    </xf>
    <xf numFmtId="3" fontId="54" fillId="0" borderId="0" xfId="188" applyNumberFormat="1" applyFont="1" applyFill="1" applyAlignment="1">
      <alignment horizontal="center" wrapText="1"/>
    </xf>
    <xf numFmtId="0" fontId="54" fillId="0" borderId="0" xfId="212" quotePrefix="1" applyFont="1" applyFill="1" applyAlignment="1">
      <alignment horizontal="left"/>
    </xf>
    <xf numFmtId="173" fontId="54" fillId="0" borderId="14" xfId="59" applyNumberFormat="1" applyFont="1" applyFill="1" applyBorder="1"/>
    <xf numFmtId="37" fontId="54" fillId="0" borderId="0" xfId="212" applyNumberFormat="1" applyFont="1" applyFill="1"/>
    <xf numFmtId="172" fontId="54" fillId="0" borderId="0" xfId="207" applyFont="1" applyFill="1" applyAlignment="1"/>
    <xf numFmtId="0" fontId="61" fillId="0" borderId="0" xfId="212" applyFont="1" applyFill="1" applyAlignment="1">
      <alignment horizontal="centerContinuous" wrapText="1"/>
    </xf>
    <xf numFmtId="172" fontId="61" fillId="0" borderId="0" xfId="0" applyFont="1" applyFill="1" applyAlignment="1">
      <alignment horizontal="center"/>
    </xf>
    <xf numFmtId="172" fontId="61" fillId="0" borderId="0" xfId="0" applyFont="1" applyFill="1" applyAlignment="1">
      <alignment horizontal="center" wrapText="1"/>
    </xf>
    <xf numFmtId="43" fontId="54" fillId="0" borderId="14" xfId="59" applyFont="1" applyFill="1" applyBorder="1"/>
    <xf numFmtId="172" fontId="84" fillId="0" borderId="0" xfId="0" applyFont="1" applyFill="1" applyBorder="1" applyAlignment="1"/>
    <xf numFmtId="43" fontId="54" fillId="0" borderId="1" xfId="59" applyFont="1" applyFill="1" applyBorder="1" applyAlignment="1">
      <alignment horizontal="center"/>
    </xf>
    <xf numFmtId="0" fontId="83" fillId="0" borderId="0" xfId="0" applyNumberFormat="1" applyFont="1" applyFill="1" applyAlignment="1">
      <alignment horizontal="center"/>
    </xf>
    <xf numFmtId="172" fontId="83" fillId="0" borderId="0" xfId="0" applyFont="1" applyFill="1" applyAlignment="1">
      <alignment horizontal="center"/>
    </xf>
    <xf numFmtId="44" fontId="83" fillId="0" borderId="0" xfId="0" applyNumberFormat="1" applyFont="1" applyFill="1" applyBorder="1" applyAlignment="1"/>
    <xf numFmtId="0" fontId="5" fillId="0" borderId="0" xfId="389" applyFill="1"/>
    <xf numFmtId="0" fontId="106" fillId="0" borderId="0" xfId="389" applyFont="1" applyFill="1" applyAlignment="1"/>
    <xf numFmtId="0" fontId="106" fillId="0" borderId="0" xfId="389" applyFont="1" applyFill="1" applyAlignment="1">
      <alignment horizontal="center"/>
    </xf>
    <xf numFmtId="0" fontId="105" fillId="0" borderId="0" xfId="389" applyFont="1" applyFill="1" applyAlignment="1">
      <alignment horizontal="center"/>
    </xf>
    <xf numFmtId="0" fontId="106" fillId="0" borderId="0" xfId="389" applyFont="1" applyFill="1"/>
    <xf numFmtId="9" fontId="105" fillId="0" borderId="0" xfId="389" applyNumberFormat="1" applyFont="1" applyFill="1" applyAlignment="1">
      <alignment horizontal="center"/>
    </xf>
    <xf numFmtId="182" fontId="105" fillId="0" borderId="0" xfId="392" applyNumberFormat="1" applyFont="1" applyFill="1" applyAlignment="1">
      <alignment horizontal="center"/>
    </xf>
    <xf numFmtId="10" fontId="105" fillId="0" borderId="0" xfId="391" applyNumberFormat="1" applyFont="1" applyFill="1"/>
    <xf numFmtId="182" fontId="105" fillId="0" borderId="0" xfId="392" applyNumberFormat="1" applyFont="1" applyFill="1"/>
    <xf numFmtId="9" fontId="105" fillId="0" borderId="0" xfId="391" applyFont="1" applyFill="1"/>
    <xf numFmtId="173" fontId="105" fillId="0" borderId="0" xfId="389" applyNumberFormat="1" applyFont="1" applyFill="1"/>
    <xf numFmtId="0" fontId="108" fillId="0" borderId="0" xfId="389" applyFont="1" applyFill="1" applyAlignment="1">
      <alignment horizontal="right"/>
    </xf>
    <xf numFmtId="0" fontId="39" fillId="0" borderId="0" xfId="389" applyFont="1" applyFill="1" applyAlignment="1">
      <alignment horizontal="center"/>
    </xf>
    <xf numFmtId="41" fontId="39" fillId="0" borderId="0" xfId="389" applyNumberFormat="1" applyFont="1" applyFill="1" applyAlignment="1">
      <alignment horizontal="center"/>
    </xf>
    <xf numFmtId="0" fontId="110" fillId="0" borderId="0" xfId="389" applyFont="1" applyFill="1" applyBorder="1"/>
    <xf numFmtId="0" fontId="109" fillId="0" borderId="0" xfId="389" applyFont="1" applyFill="1"/>
    <xf numFmtId="0" fontId="96" fillId="0" borderId="0" xfId="389" applyFont="1" applyFill="1"/>
    <xf numFmtId="41" fontId="96" fillId="0" borderId="0" xfId="389" applyNumberFormat="1" applyFont="1" applyFill="1"/>
    <xf numFmtId="0" fontId="108" fillId="0" borderId="9" xfId="389" applyFont="1" applyFill="1" applyBorder="1"/>
    <xf numFmtId="41" fontId="5" fillId="0" borderId="0" xfId="389" applyNumberFormat="1" applyFill="1"/>
    <xf numFmtId="0" fontId="108" fillId="0" borderId="12" xfId="389" applyFont="1" applyFill="1" applyBorder="1"/>
    <xf numFmtId="0" fontId="111" fillId="0" borderId="10" xfId="389" applyFont="1" applyFill="1" applyBorder="1" applyAlignment="1"/>
    <xf numFmtId="0" fontId="111" fillId="0" borderId="10" xfId="389" applyFont="1" applyFill="1" applyBorder="1"/>
    <xf numFmtId="41" fontId="108" fillId="0" borderId="0" xfId="389" applyNumberFormat="1" applyFont="1" applyFill="1" applyBorder="1" applyAlignment="1"/>
    <xf numFmtId="0" fontId="108" fillId="0" borderId="0" xfId="389" applyFont="1" applyFill="1" applyBorder="1" applyAlignment="1"/>
    <xf numFmtId="0" fontId="108" fillId="0" borderId="27" xfId="389" applyFont="1" applyFill="1" applyBorder="1" applyAlignment="1"/>
    <xf numFmtId="41" fontId="111" fillId="0" borderId="0" xfId="389" applyNumberFormat="1" applyFont="1" applyFill="1" applyBorder="1" applyAlignment="1">
      <alignment wrapText="1"/>
    </xf>
    <xf numFmtId="41" fontId="108" fillId="0" borderId="0" xfId="389" applyNumberFormat="1" applyFont="1" applyFill="1" applyBorder="1" applyAlignment="1">
      <alignment wrapText="1"/>
    </xf>
    <xf numFmtId="0" fontId="108" fillId="0" borderId="27" xfId="389" applyFont="1" applyFill="1" applyBorder="1" applyAlignment="1">
      <alignment wrapText="1"/>
    </xf>
    <xf numFmtId="0" fontId="14" fillId="0" borderId="9" xfId="389" applyFont="1" applyFill="1" applyBorder="1"/>
    <xf numFmtId="0" fontId="14" fillId="0" borderId="0" xfId="389" applyFont="1" applyFill="1" applyBorder="1"/>
    <xf numFmtId="41" fontId="108" fillId="0" borderId="0" xfId="389" applyNumberFormat="1" applyFont="1" applyFill="1" applyAlignment="1">
      <alignment horizontal="center"/>
    </xf>
    <xf numFmtId="0" fontId="104" fillId="0" borderId="0" xfId="396" applyFont="1" applyFill="1"/>
    <xf numFmtId="1" fontId="21" fillId="0" borderId="0" xfId="201" applyNumberFormat="1" applyFont="1" applyFill="1" applyAlignment="1">
      <alignment horizontal="left"/>
    </xf>
    <xf numFmtId="172" fontId="93" fillId="0" borderId="0" xfId="201" quotePrefix="1" applyFont="1" applyFill="1" applyAlignment="1">
      <alignment horizontal="left"/>
    </xf>
    <xf numFmtId="172" fontId="16" fillId="0" borderId="0" xfId="201" applyFont="1" applyFill="1" applyAlignment="1"/>
    <xf numFmtId="0" fontId="78" fillId="0" borderId="0" xfId="383" applyFont="1" applyFill="1" applyAlignment="1">
      <alignment horizontal="center" wrapText="1"/>
    </xf>
    <xf numFmtId="172" fontId="21" fillId="0" borderId="0" xfId="201" applyFont="1" applyFill="1" applyAlignment="1"/>
    <xf numFmtId="172" fontId="21" fillId="0" borderId="0" xfId="201" quotePrefix="1" applyFont="1" applyFill="1" applyBorder="1" applyAlignment="1">
      <alignment horizontal="left"/>
    </xf>
    <xf numFmtId="172" fontId="21" fillId="0" borderId="0" xfId="201" applyFont="1" applyFill="1" applyAlignment="1">
      <alignment horizontal="left"/>
    </xf>
    <xf numFmtId="172" fontId="21" fillId="0" borderId="0" xfId="201" applyFont="1" applyFill="1" applyBorder="1" applyAlignment="1"/>
    <xf numFmtId="0" fontId="78" fillId="0" borderId="0" xfId="383" applyFont="1" applyFill="1"/>
    <xf numFmtId="172" fontId="54" fillId="0" borderId="12" xfId="0" applyFont="1" applyFill="1" applyBorder="1" applyAlignment="1">
      <alignment horizontal="center" wrapText="1"/>
    </xf>
    <xf numFmtId="0" fontId="61" fillId="0" borderId="0" xfId="212" applyFont="1" applyFill="1" applyAlignment="1">
      <alignment horizontal="center"/>
    </xf>
    <xf numFmtId="172" fontId="54" fillId="0" borderId="0" xfId="211" applyFont="1" applyFill="1" applyAlignment="1">
      <alignment horizontal="center"/>
    </xf>
    <xf numFmtId="41" fontId="117" fillId="16" borderId="0" xfId="212" applyNumberFormat="1" applyFont="1" applyFill="1"/>
    <xf numFmtId="0" fontId="54" fillId="0" borderId="0" xfId="212" applyFont="1" applyFill="1" applyAlignment="1">
      <alignment horizontal="left"/>
    </xf>
    <xf numFmtId="10" fontId="54" fillId="0" borderId="0" xfId="266" applyNumberFormat="1" applyFont="1" applyFill="1" applyAlignment="1">
      <alignment horizontal="center"/>
    </xf>
    <xf numFmtId="37" fontId="54" fillId="0" borderId="0" xfId="59" applyNumberFormat="1" applyFont="1" applyFill="1" applyAlignment="1">
      <alignment horizontal="center" wrapText="1"/>
    </xf>
    <xf numFmtId="37" fontId="54" fillId="0" borderId="0" xfId="59" applyNumberFormat="1" applyFont="1" applyFill="1" applyBorder="1" applyAlignment="1">
      <alignment horizontal="center" wrapText="1"/>
    </xf>
    <xf numFmtId="37" fontId="54" fillId="0" borderId="0" xfId="59" applyNumberFormat="1" applyFont="1" applyFill="1" applyAlignment="1">
      <alignment horizontal="center"/>
    </xf>
    <xf numFmtId="0" fontId="54" fillId="0" borderId="0" xfId="192" applyFont="1" applyFill="1" applyBorder="1"/>
    <xf numFmtId="3" fontId="54" fillId="0" borderId="0" xfId="0" applyNumberFormat="1" applyFont="1" applyFill="1" applyAlignment="1"/>
    <xf numFmtId="3" fontId="54" fillId="0" borderId="8" xfId="0" applyNumberFormat="1" applyFont="1" applyFill="1" applyBorder="1" applyAlignment="1">
      <alignment horizontal="center"/>
    </xf>
    <xf numFmtId="0" fontId="54" fillId="0" borderId="0" xfId="0" applyNumberFormat="1" applyFont="1" applyFill="1" applyProtection="1">
      <protection locked="0"/>
    </xf>
    <xf numFmtId="173" fontId="54" fillId="0" borderId="0" xfId="59" applyNumberFormat="1" applyFont="1" applyFill="1" applyAlignment="1" applyProtection="1">
      <protection locked="0"/>
    </xf>
    <xf numFmtId="3" fontId="54" fillId="0" borderId="0" xfId="0" applyNumberFormat="1" applyFont="1" applyFill="1" applyAlignment="1">
      <alignment horizontal="center"/>
    </xf>
    <xf numFmtId="49" fontId="118" fillId="0" borderId="0" xfId="0" applyNumberFormat="1" applyFont="1" applyFill="1" applyAlignment="1">
      <alignment horizontal="center"/>
    </xf>
    <xf numFmtId="0" fontId="44" fillId="0" borderId="0" xfId="192" applyFont="1" applyFill="1"/>
    <xf numFmtId="172" fontId="44" fillId="0" borderId="0" xfId="0" applyFont="1" applyFill="1" applyAlignment="1">
      <alignment horizontal="center" vertical="center"/>
    </xf>
    <xf numFmtId="172" fontId="44" fillId="0" borderId="0" xfId="0" applyFont="1" applyFill="1" applyAlignment="1"/>
    <xf numFmtId="172" fontId="54" fillId="14" borderId="11" xfId="0" applyFont="1" applyFill="1" applyBorder="1"/>
    <xf numFmtId="43" fontId="54" fillId="14" borderId="10" xfId="59" applyFont="1" applyFill="1" applyBorder="1"/>
    <xf numFmtId="43" fontId="54" fillId="14" borderId="11" xfId="59" applyFont="1" applyFill="1" applyBorder="1"/>
    <xf numFmtId="43" fontId="54" fillId="14" borderId="12" xfId="59" applyFont="1" applyFill="1" applyBorder="1"/>
    <xf numFmtId="43" fontId="54" fillId="14" borderId="11" xfId="59" applyFont="1" applyFill="1" applyBorder="1" applyAlignment="1">
      <alignment horizontal="center"/>
    </xf>
    <xf numFmtId="43" fontId="54" fillId="14" borderId="22" xfId="59" applyFont="1" applyFill="1" applyBorder="1"/>
    <xf numFmtId="43" fontId="54" fillId="14" borderId="22" xfId="59" applyFont="1" applyFill="1" applyBorder="1" applyAlignment="1">
      <alignment horizontal="center"/>
    </xf>
    <xf numFmtId="43" fontId="54" fillId="14" borderId="10" xfId="59" applyFont="1" applyFill="1" applyBorder="1" applyAlignment="1">
      <alignment horizontal="center"/>
    </xf>
    <xf numFmtId="43" fontId="54" fillId="14" borderId="11" xfId="59" applyFont="1" applyFill="1" applyBorder="1" applyAlignment="1"/>
    <xf numFmtId="173" fontId="54" fillId="14" borderId="11" xfId="59" applyNumberFormat="1" applyFont="1" applyFill="1" applyBorder="1" applyAlignment="1"/>
    <xf numFmtId="172" fontId="54" fillId="14" borderId="0" xfId="201" applyFont="1" applyFill="1" applyBorder="1" applyAlignment="1"/>
    <xf numFmtId="172" fontId="54" fillId="14" borderId="1" xfId="201" applyFont="1" applyFill="1" applyBorder="1" applyAlignment="1"/>
    <xf numFmtId="174" fontId="54" fillId="14" borderId="0" xfId="93" applyNumberFormat="1" applyFont="1" applyFill="1" applyBorder="1" applyAlignment="1"/>
    <xf numFmtId="173" fontId="54" fillId="14" borderId="0" xfId="59" applyNumberFormat="1" applyFont="1" applyFill="1" applyBorder="1" applyAlignment="1"/>
    <xf numFmtId="173" fontId="54" fillId="14" borderId="1" xfId="59" applyNumberFormat="1" applyFont="1" applyFill="1" applyBorder="1" applyAlignment="1"/>
    <xf numFmtId="173" fontId="54" fillId="14" borderId="10" xfId="59" applyNumberFormat="1" applyFont="1" applyFill="1" applyBorder="1" applyAlignment="1"/>
    <xf numFmtId="173" fontId="83" fillId="14" borderId="17" xfId="59" applyNumberFormat="1" applyFont="1" applyFill="1" applyBorder="1" applyAlignment="1"/>
    <xf numFmtId="173" fontId="83" fillId="14" borderId="1" xfId="59" applyNumberFormat="1" applyFont="1" applyFill="1" applyBorder="1" applyAlignment="1"/>
    <xf numFmtId="173" fontId="54" fillId="14" borderId="0" xfId="59" applyNumberFormat="1" applyFont="1" applyFill="1" applyAlignment="1"/>
    <xf numFmtId="41" fontId="54" fillId="14" borderId="0" xfId="212" applyNumberFormat="1" applyFont="1" applyFill="1"/>
    <xf numFmtId="173" fontId="54" fillId="14" borderId="0" xfId="59" applyNumberFormat="1" applyFont="1" applyFill="1"/>
    <xf numFmtId="173" fontId="105" fillId="14" borderId="0" xfId="392" applyNumberFormat="1" applyFont="1" applyFill="1" applyBorder="1"/>
    <xf numFmtId="173" fontId="105" fillId="14" borderId="0" xfId="392" applyNumberFormat="1" applyFont="1" applyFill="1"/>
    <xf numFmtId="173" fontId="105" fillId="14" borderId="0" xfId="389" applyNumberFormat="1" applyFont="1" applyFill="1"/>
    <xf numFmtId="41" fontId="108" fillId="14" borderId="9" xfId="389" applyNumberFormat="1" applyFont="1" applyFill="1" applyBorder="1"/>
    <xf numFmtId="0" fontId="14" fillId="14" borderId="9" xfId="389" applyFont="1" applyFill="1" applyBorder="1" applyAlignment="1"/>
    <xf numFmtId="37" fontId="108" fillId="14" borderId="9" xfId="389" applyNumberFormat="1" applyFont="1" applyFill="1" applyBorder="1" applyAlignment="1">
      <alignment wrapText="1"/>
    </xf>
    <xf numFmtId="41" fontId="108" fillId="14" borderId="9" xfId="395" applyNumberFormat="1" applyFont="1" applyFill="1" applyBorder="1"/>
    <xf numFmtId="37" fontId="108" fillId="14" borderId="23" xfId="389" applyNumberFormat="1" applyFont="1" applyFill="1" applyBorder="1" applyAlignment="1">
      <alignment wrapText="1"/>
    </xf>
    <xf numFmtId="0" fontId="108" fillId="14" borderId="9" xfId="389" applyFont="1" applyFill="1" applyBorder="1" applyAlignment="1">
      <alignment wrapText="1"/>
    </xf>
    <xf numFmtId="0" fontId="96" fillId="14" borderId="9" xfId="389" applyFont="1" applyFill="1" applyBorder="1"/>
    <xf numFmtId="0" fontId="14" fillId="14" borderId="9" xfId="389" applyFont="1" applyFill="1" applyBorder="1"/>
    <xf numFmtId="41" fontId="14" fillId="14" borderId="9" xfId="389" applyNumberFormat="1" applyFont="1" applyFill="1" applyBorder="1" applyAlignment="1"/>
    <xf numFmtId="0" fontId="108" fillId="14" borderId="9" xfId="389" applyFont="1" applyFill="1" applyBorder="1"/>
    <xf numFmtId="41" fontId="108" fillId="14" borderId="20" xfId="389" applyNumberFormat="1" applyFont="1" applyFill="1" applyBorder="1"/>
    <xf numFmtId="41" fontId="108" fillId="14" borderId="22" xfId="389" applyNumberFormat="1" applyFont="1" applyFill="1" applyBorder="1"/>
    <xf numFmtId="41" fontId="108" fillId="14" borderId="9" xfId="389" applyNumberFormat="1" applyFont="1" applyFill="1" applyBorder="1" applyAlignment="1">
      <alignment horizontal="left" vertical="top" wrapText="1"/>
    </xf>
    <xf numFmtId="41" fontId="108" fillId="14" borderId="9" xfId="392" applyNumberFormat="1" applyFont="1" applyFill="1" applyBorder="1" applyAlignment="1">
      <alignment horizontal="right"/>
    </xf>
    <xf numFmtId="173" fontId="54" fillId="14" borderId="8" xfId="59" applyNumberFormat="1" applyFont="1" applyFill="1" applyBorder="1" applyAlignment="1"/>
    <xf numFmtId="173" fontId="54" fillId="14" borderId="0" xfId="59" applyNumberFormat="1" applyFont="1" applyFill="1" applyAlignment="1">
      <alignment horizontal="center"/>
    </xf>
    <xf numFmtId="172" fontId="54" fillId="14" borderId="10" xfId="0" applyFont="1" applyFill="1" applyBorder="1"/>
    <xf numFmtId="172" fontId="54" fillId="14" borderId="0" xfId="0" applyFont="1" applyFill="1" applyBorder="1"/>
    <xf numFmtId="43" fontId="54" fillId="14" borderId="0" xfId="59" applyFont="1" applyFill="1" applyBorder="1"/>
    <xf numFmtId="172" fontId="100" fillId="0" borderId="0" xfId="0" applyFont="1" applyFill="1" applyAlignment="1">
      <alignment horizontal="center" vertical="center"/>
    </xf>
    <xf numFmtId="10" fontId="54" fillId="0" borderId="8" xfId="266" applyNumberFormat="1" applyFont="1" applyFill="1" applyBorder="1" applyAlignment="1">
      <alignment horizontal="center"/>
    </xf>
    <xf numFmtId="10" fontId="54" fillId="0" borderId="0" xfId="266" applyNumberFormat="1" applyFont="1" applyFill="1" applyBorder="1" applyAlignment="1"/>
    <xf numFmtId="10" fontId="54" fillId="0" borderId="0" xfId="266" applyNumberFormat="1" applyFont="1" applyFill="1" applyAlignment="1" applyProtection="1">
      <alignment vertical="top"/>
      <protection locked="0"/>
    </xf>
    <xf numFmtId="10" fontId="54" fillId="0" borderId="0" xfId="266" applyNumberFormat="1" applyFont="1" applyFill="1" applyAlignment="1">
      <alignment horizontal="center"/>
    </xf>
    <xf numFmtId="0" fontId="54" fillId="0" borderId="0" xfId="212" quotePrefix="1" applyFont="1" applyFill="1" applyAlignment="1">
      <alignment horizontal="center"/>
    </xf>
    <xf numFmtId="174" fontId="54" fillId="0" borderId="0" xfId="93" quotePrefix="1" applyNumberFormat="1" applyFont="1" applyFill="1" applyAlignment="1">
      <alignment horizontal="left"/>
    </xf>
    <xf numFmtId="173" fontId="54" fillId="0" borderId="0" xfId="59" quotePrefix="1" applyNumberFormat="1" applyFont="1" applyFill="1" applyAlignment="1">
      <alignment horizontal="left"/>
    </xf>
    <xf numFmtId="0" fontId="61" fillId="0" borderId="0" xfId="212" quotePrefix="1" applyFont="1" applyFill="1" applyAlignment="1">
      <alignment horizontal="left"/>
    </xf>
    <xf numFmtId="10" fontId="54" fillId="0" borderId="0" xfId="266" applyNumberFormat="1" applyFont="1" applyFill="1" applyAlignment="1">
      <alignment horizontal="center"/>
    </xf>
    <xf numFmtId="0" fontId="54" fillId="14" borderId="0" xfId="59" applyNumberFormat="1" applyFont="1" applyFill="1" applyBorder="1" applyAlignment="1">
      <alignment horizontal="left"/>
    </xf>
    <xf numFmtId="172" fontId="117" fillId="14" borderId="0" xfId="209" applyFont="1" applyFill="1" applyBorder="1" applyAlignment="1"/>
    <xf numFmtId="174" fontId="117" fillId="14" borderId="0" xfId="93" applyNumberFormat="1" applyFont="1" applyFill="1" applyBorder="1" applyAlignment="1"/>
    <xf numFmtId="173" fontId="117" fillId="14" borderId="0" xfId="59" applyNumberFormat="1" applyFont="1" applyFill="1" applyBorder="1" applyAlignment="1"/>
    <xf numFmtId="170" fontId="44" fillId="0" borderId="0" xfId="266" applyNumberFormat="1" applyFont="1" applyFill="1" applyAlignment="1">
      <alignment horizontal="center"/>
    </xf>
    <xf numFmtId="170" fontId="44" fillId="0" borderId="0" xfId="266" applyNumberFormat="1" applyFont="1" applyAlignment="1"/>
    <xf numFmtId="170" fontId="44" fillId="0" borderId="8" xfId="266" applyNumberFormat="1" applyFont="1" applyBorder="1" applyAlignment="1"/>
    <xf numFmtId="274" fontId="21" fillId="0" borderId="0" xfId="266" applyNumberFormat="1" applyFont="1" applyFill="1" applyAlignment="1">
      <alignment horizontal="right"/>
    </xf>
    <xf numFmtId="170" fontId="54" fillId="0" borderId="0" xfId="266" applyNumberFormat="1" applyFont="1" applyFill="1" applyAlignment="1"/>
    <xf numFmtId="172" fontId="119" fillId="0" borderId="0" xfId="0" applyFont="1" applyFill="1" applyAlignment="1"/>
    <xf numFmtId="172" fontId="119" fillId="0" borderId="0" xfId="201" applyFont="1" applyFill="1" applyBorder="1" applyAlignment="1"/>
    <xf numFmtId="173" fontId="54" fillId="14" borderId="19" xfId="59" applyNumberFormat="1" applyFont="1" applyFill="1" applyBorder="1"/>
    <xf numFmtId="0" fontId="54" fillId="14" borderId="0" xfId="212" quotePrefix="1" applyFont="1" applyFill="1" applyAlignment="1">
      <alignment horizontal="left"/>
    </xf>
    <xf numFmtId="172" fontId="0" fillId="14" borderId="0" xfId="0" applyFill="1" applyAlignment="1"/>
    <xf numFmtId="0" fontId="54" fillId="14" borderId="0" xfId="212" quotePrefix="1" applyFont="1" applyFill="1" applyAlignment="1">
      <alignment horizontal="center"/>
    </xf>
    <xf numFmtId="0" fontId="54" fillId="0" borderId="0" xfId="188" quotePrefix="1" applyNumberFormat="1" applyFont="1" applyFill="1" applyAlignment="1">
      <alignment vertical="top" wrapText="1"/>
    </xf>
    <xf numFmtId="0" fontId="54" fillId="0" borderId="0" xfId="188" applyNumberFormat="1" applyFont="1" applyFill="1" applyAlignment="1">
      <alignment vertical="top" wrapText="1"/>
    </xf>
    <xf numFmtId="0" fontId="54" fillId="0" borderId="0" xfId="211" applyNumberFormat="1" applyFont="1" applyFill="1" applyAlignment="1" applyProtection="1">
      <alignment vertical="top" wrapText="1"/>
      <protection locked="0"/>
    </xf>
    <xf numFmtId="43" fontId="117" fillId="0" borderId="11" xfId="59" applyFont="1" applyFill="1" applyBorder="1" applyAlignment="1">
      <alignment horizontal="center"/>
    </xf>
    <xf numFmtId="43" fontId="54" fillId="0" borderId="11" xfId="59" applyFont="1" applyFill="1" applyBorder="1" applyAlignment="1">
      <alignment horizontal="center"/>
    </xf>
    <xf numFmtId="43" fontId="54" fillId="14" borderId="12" xfId="59" applyFont="1" applyFill="1" applyBorder="1" applyAlignment="1">
      <alignment horizontal="center"/>
    </xf>
    <xf numFmtId="172" fontId="54" fillId="0" borderId="21" xfId="0" applyFont="1" applyFill="1" applyBorder="1"/>
    <xf numFmtId="174" fontId="54" fillId="0" borderId="15" xfId="93" applyNumberFormat="1" applyFont="1" applyFill="1" applyBorder="1"/>
    <xf numFmtId="0" fontId="121" fillId="0" borderId="0" xfId="389" applyFont="1" applyFill="1" applyAlignment="1">
      <alignment horizontal="center"/>
    </xf>
    <xf numFmtId="173" fontId="121" fillId="0" borderId="0" xfId="389" applyNumberFormat="1" applyFont="1" applyFill="1" applyAlignment="1">
      <alignment horizontal="center"/>
    </xf>
    <xf numFmtId="0" fontId="122" fillId="0" borderId="0" xfId="389" applyFont="1" applyFill="1" applyAlignment="1">
      <alignment horizontal="center"/>
    </xf>
    <xf numFmtId="0" fontId="121" fillId="14" borderId="0" xfId="389" applyFont="1" applyFill="1" applyAlignment="1">
      <alignment horizontal="center"/>
    </xf>
    <xf numFmtId="172" fontId="50" fillId="0" borderId="0" xfId="0" applyFont="1" applyFill="1" applyAlignment="1"/>
    <xf numFmtId="172" fontId="123" fillId="0" borderId="0" xfId="0" applyFont="1" applyFill="1" applyAlignment="1"/>
    <xf numFmtId="0" fontId="50" fillId="0" borderId="0" xfId="212" quotePrefix="1" applyFont="1" applyFill="1" applyAlignment="1">
      <alignment horizontal="left"/>
    </xf>
    <xf numFmtId="0" fontId="50" fillId="0" borderId="0" xfId="0" applyNumberFormat="1" applyFont="1" applyFill="1" applyAlignment="1">
      <alignment horizontal="center"/>
    </xf>
    <xf numFmtId="173" fontId="50" fillId="0" borderId="0" xfId="59" applyNumberFormat="1" applyFont="1" applyFill="1" applyAlignment="1"/>
    <xf numFmtId="172" fontId="50" fillId="14" borderId="0" xfId="0" applyFont="1" applyFill="1" applyAlignment="1"/>
    <xf numFmtId="173" fontId="50" fillId="14" borderId="0" xfId="59" applyNumberFormat="1" applyFont="1" applyFill="1" applyAlignment="1"/>
    <xf numFmtId="10" fontId="50" fillId="0" borderId="0" xfId="266" applyNumberFormat="1" applyFont="1" applyFill="1" applyAlignment="1"/>
    <xf numFmtId="173" fontId="50" fillId="0" borderId="0" xfId="59" applyNumberFormat="1" applyFont="1" applyFill="1" applyAlignment="1">
      <alignment horizontal="right"/>
    </xf>
    <xf numFmtId="172" fontId="50" fillId="0" borderId="0" xfId="0" applyFont="1" applyFill="1" applyAlignment="1">
      <alignment horizontal="center"/>
    </xf>
    <xf numFmtId="0" fontId="121" fillId="0" borderId="0" xfId="389" quotePrefix="1" applyFont="1" applyFill="1" applyAlignment="1">
      <alignment horizontal="center"/>
    </xf>
    <xf numFmtId="172" fontId="50" fillId="0" borderId="0" xfId="0" quotePrefix="1" applyFont="1" applyFill="1" applyAlignment="1">
      <alignment horizontal="center"/>
    </xf>
    <xf numFmtId="173" fontId="54" fillId="14" borderId="0" xfId="59" quotePrefix="1" applyNumberFormat="1" applyFont="1" applyFill="1" applyAlignment="1">
      <alignment horizontal="left"/>
    </xf>
    <xf numFmtId="39" fontId="54" fillId="14" borderId="0" xfId="59" quotePrefix="1" applyNumberFormat="1" applyFont="1" applyFill="1" applyAlignment="1">
      <alignment horizontal="left"/>
    </xf>
    <xf numFmtId="172" fontId="123" fillId="0" borderId="0" xfId="201" applyFont="1" applyFill="1" applyAlignment="1"/>
    <xf numFmtId="172" fontId="50" fillId="0" borderId="0" xfId="0" applyFont="1" applyFill="1" applyAlignment="1">
      <alignment horizontal="right"/>
    </xf>
    <xf numFmtId="172" fontId="50" fillId="0" borderId="0" xfId="201" applyFont="1" applyFill="1" applyAlignment="1">
      <alignment horizontal="center"/>
    </xf>
    <xf numFmtId="172" fontId="124" fillId="0" borderId="0" xfId="0" applyFont="1" applyFill="1" applyAlignment="1"/>
    <xf numFmtId="0" fontId="125" fillId="0" borderId="0" xfId="187" applyFont="1" applyFill="1" applyBorder="1" applyAlignment="1">
      <alignment horizontal="left"/>
    </xf>
    <xf numFmtId="0" fontId="50" fillId="0" borderId="0" xfId="187" applyFont="1" applyFill="1" applyBorder="1" applyAlignment="1"/>
    <xf numFmtId="0" fontId="50" fillId="0" borderId="0" xfId="187" applyFont="1" applyFill="1" applyBorder="1" applyAlignment="1">
      <alignment horizontal="center"/>
    </xf>
    <xf numFmtId="49" fontId="50" fillId="0" borderId="0" xfId="187" applyNumberFormat="1" applyFont="1" applyFill="1" applyBorder="1" applyAlignment="1">
      <alignment horizontal="center"/>
    </xf>
    <xf numFmtId="0" fontId="50" fillId="0" borderId="0" xfId="187" applyFont="1" applyFill="1" applyBorder="1"/>
    <xf numFmtId="172" fontId="50" fillId="0" borderId="0" xfId="0" applyFont="1" applyFill="1" applyBorder="1" applyAlignment="1"/>
    <xf numFmtId="3" fontId="50" fillId="0" borderId="0" xfId="187" applyNumberFormat="1" applyFont="1" applyFill="1" applyBorder="1" applyAlignment="1"/>
    <xf numFmtId="172" fontId="123" fillId="0" borderId="1" xfId="201" applyFont="1" applyFill="1" applyBorder="1" applyAlignment="1">
      <alignment horizontal="center" wrapText="1"/>
    </xf>
    <xf numFmtId="172" fontId="123" fillId="0" borderId="0" xfId="201" applyFont="1" applyFill="1" applyAlignment="1">
      <alignment horizontal="center" wrapText="1"/>
    </xf>
    <xf numFmtId="0" fontId="50" fillId="0" borderId="0" xfId="204" applyFont="1" applyFill="1" applyBorder="1" applyAlignment="1"/>
    <xf numFmtId="173" fontId="50" fillId="0" borderId="0" xfId="59" applyNumberFormat="1" applyFont="1" applyFill="1" applyBorder="1" applyAlignment="1"/>
    <xf numFmtId="172" fontId="50" fillId="0" borderId="0" xfId="201" applyFont="1" applyFill="1" applyBorder="1" applyAlignment="1"/>
    <xf numFmtId="172" fontId="50" fillId="0" borderId="8" xfId="201" applyFont="1" applyFill="1" applyBorder="1" applyAlignment="1"/>
    <xf numFmtId="172" fontId="50" fillId="0" borderId="0" xfId="201" applyFont="1" applyFill="1" applyBorder="1" applyAlignment="1">
      <alignment horizontal="center" vertical="top"/>
    </xf>
    <xf numFmtId="172" fontId="50" fillId="0" borderId="0" xfId="201" applyFont="1" applyFill="1" applyBorder="1" applyAlignment="1">
      <alignment vertical="top"/>
    </xf>
    <xf numFmtId="0" fontId="50" fillId="0" borderId="0" xfId="0" applyNumberFormat="1" applyFont="1" applyFill="1" applyAlignment="1">
      <alignment horizontal="center" vertical="center"/>
    </xf>
    <xf numFmtId="10" fontId="54" fillId="0" borderId="0" xfId="266" applyNumberFormat="1" applyFont="1" applyFill="1" applyAlignment="1">
      <alignment horizontal="center"/>
    </xf>
    <xf numFmtId="0" fontId="54" fillId="0" borderId="0" xfId="188" applyNumberFormat="1" applyFont="1" applyFill="1" applyAlignment="1">
      <alignment vertical="top" wrapText="1"/>
    </xf>
    <xf numFmtId="172" fontId="54" fillId="0" borderId="0" xfId="0" applyFont="1" applyFill="1" applyAlignment="1">
      <alignment horizontal="left" vertical="center" wrapText="1"/>
    </xf>
    <xf numFmtId="0" fontId="54" fillId="0" borderId="0" xfId="201" applyNumberFormat="1" applyFont="1" applyFill="1" applyBorder="1" applyAlignment="1" applyProtection="1">
      <alignment horizontal="center"/>
      <protection locked="0"/>
    </xf>
    <xf numFmtId="10" fontId="54" fillId="0" borderId="0" xfId="59" applyNumberFormat="1" applyFont="1" applyFill="1" applyBorder="1" applyAlignment="1">
      <alignment horizontal="center"/>
    </xf>
    <xf numFmtId="0" fontId="123" fillId="0" borderId="0" xfId="184" applyFont="1" applyFill="1"/>
    <xf numFmtId="0" fontId="50" fillId="0" borderId="0" xfId="184" applyFont="1" applyFill="1"/>
    <xf numFmtId="173" fontId="123" fillId="0" borderId="0" xfId="59" applyNumberFormat="1" applyFont="1" applyFill="1" applyAlignment="1"/>
    <xf numFmtId="0" fontId="123" fillId="0" borderId="0" xfId="212" applyFont="1" applyFill="1" applyAlignment="1">
      <alignment horizontal="center"/>
    </xf>
    <xf numFmtId="0" fontId="123" fillId="0" borderId="0" xfId="212" applyFont="1" applyFill="1" applyAlignment="1">
      <alignment horizontal="center" wrapText="1"/>
    </xf>
    <xf numFmtId="172" fontId="50" fillId="0" borderId="0" xfId="0" applyFont="1" applyFill="1" applyAlignment="1">
      <alignment horizontal="center" wrapText="1"/>
    </xf>
    <xf numFmtId="172" fontId="50" fillId="0" borderId="0" xfId="0" applyFont="1" applyFill="1"/>
    <xf numFmtId="1" fontId="50" fillId="0" borderId="1" xfId="0" applyNumberFormat="1" applyFont="1" applyFill="1" applyBorder="1" applyAlignment="1">
      <alignment horizontal="center"/>
    </xf>
    <xf numFmtId="172" fontId="50" fillId="0" borderId="1" xfId="0" applyFont="1" applyFill="1" applyBorder="1"/>
    <xf numFmtId="0" fontId="123" fillId="0" borderId="0" xfId="399" applyFont="1" applyFill="1" applyBorder="1" applyAlignment="1">
      <alignment horizontal="center"/>
    </xf>
    <xf numFmtId="0" fontId="50" fillId="0" borderId="0" xfId="59" applyNumberFormat="1" applyFont="1" applyFill="1" applyAlignment="1">
      <alignment horizontal="left"/>
    </xf>
    <xf numFmtId="1" fontId="50" fillId="0" borderId="0" xfId="399" applyNumberFormat="1" applyFont="1" applyFill="1" applyBorder="1" applyAlignment="1">
      <alignment horizontal="center"/>
    </xf>
    <xf numFmtId="173" fontId="50" fillId="0" borderId="1" xfId="399" applyNumberFormat="1" applyFont="1" applyFill="1" applyBorder="1" applyAlignment="1" applyProtection="1">
      <alignment horizontal="center"/>
      <protection locked="0"/>
    </xf>
    <xf numFmtId="275" fontId="50" fillId="0" borderId="0" xfId="399" applyNumberFormat="1" applyFont="1" applyFill="1" applyBorder="1" applyAlignment="1">
      <alignment horizontal="left"/>
    </xf>
    <xf numFmtId="276" fontId="50" fillId="0" borderId="0" xfId="399" applyNumberFormat="1" applyFont="1" applyFill="1" applyBorder="1" applyAlignment="1">
      <alignment horizontal="center"/>
    </xf>
    <xf numFmtId="174" fontId="50" fillId="14" borderId="0" xfId="93" applyNumberFormat="1" applyFont="1" applyFill="1" applyBorder="1"/>
    <xf numFmtId="277" fontId="50" fillId="14" borderId="0" xfId="93" applyNumberFormat="1" applyFont="1" applyFill="1" applyBorder="1"/>
    <xf numFmtId="174" fontId="50" fillId="14" borderId="0" xfId="0" applyNumberFormat="1" applyFont="1" applyFill="1"/>
    <xf numFmtId="173" fontId="50" fillId="14" borderId="0" xfId="59" applyNumberFormat="1" applyFont="1" applyFill="1" applyBorder="1"/>
    <xf numFmtId="177" fontId="50" fillId="14" borderId="0" xfId="59" applyNumberFormat="1" applyFont="1" applyFill="1" applyBorder="1"/>
    <xf numFmtId="173" fontId="50" fillId="14" borderId="0" xfId="59" applyNumberFormat="1" applyFont="1" applyFill="1"/>
    <xf numFmtId="276" fontId="50" fillId="0" borderId="0" xfId="0" applyNumberFormat="1" applyFont="1" applyFill="1" applyAlignment="1">
      <alignment horizontal="center"/>
    </xf>
    <xf numFmtId="0" fontId="50" fillId="0" borderId="0" xfId="399" applyFont="1" applyFill="1" applyBorder="1" applyAlignment="1">
      <alignment horizontal="left"/>
    </xf>
    <xf numFmtId="174" fontId="50" fillId="14" borderId="0" xfId="59" applyNumberFormat="1" applyFont="1" applyFill="1" applyBorder="1"/>
    <xf numFmtId="174" fontId="50" fillId="14" borderId="0" xfId="93" applyNumberFormat="1" applyFont="1" applyFill="1"/>
    <xf numFmtId="172" fontId="123" fillId="0" borderId="0" xfId="0" applyFont="1" applyFill="1"/>
    <xf numFmtId="174" fontId="50" fillId="0" borderId="7" xfId="93" applyNumberFormat="1" applyFont="1" applyFill="1" applyBorder="1" applyAlignment="1" applyProtection="1">
      <protection locked="0"/>
    </xf>
    <xf numFmtId="277" fontId="50" fillId="0" borderId="7" xfId="93" applyNumberFormat="1" applyFont="1" applyFill="1" applyBorder="1" applyAlignment="1" applyProtection="1">
      <protection locked="0"/>
    </xf>
    <xf numFmtId="10" fontId="50" fillId="0" borderId="0" xfId="266" applyNumberFormat="1" applyFont="1" applyFill="1"/>
    <xf numFmtId="174" fontId="50" fillId="0" borderId="0" xfId="0" applyNumberFormat="1" applyFont="1" applyFill="1"/>
    <xf numFmtId="173" fontId="54" fillId="14" borderId="8" xfId="59" applyNumberFormat="1" applyFont="1" applyFill="1" applyBorder="1"/>
    <xf numFmtId="173" fontId="54" fillId="14" borderId="3" xfId="93" applyNumberFormat="1" applyFont="1" applyFill="1" applyBorder="1" applyAlignment="1">
      <alignment horizontal="right"/>
    </xf>
    <xf numFmtId="174" fontId="54" fillId="14" borderId="3" xfId="93" applyNumberFormat="1" applyFont="1" applyFill="1" applyBorder="1"/>
    <xf numFmtId="172" fontId="54" fillId="14" borderId="0" xfId="209" applyFont="1" applyFill="1" applyBorder="1" applyAlignment="1"/>
    <xf numFmtId="0" fontId="54" fillId="0" borderId="0" xfId="211" applyNumberFormat="1" applyFont="1" applyFill="1" applyAlignment="1">
      <alignment horizontal="left" indent="2"/>
    </xf>
    <xf numFmtId="174" fontId="54" fillId="0" borderId="0" xfId="93" applyNumberFormat="1" applyFont="1" applyFill="1" applyBorder="1" applyAlignment="1"/>
    <xf numFmtId="173" fontId="54" fillId="0" borderId="10" xfId="59" applyNumberFormat="1" applyFont="1" applyFill="1" applyBorder="1" applyAlignment="1"/>
    <xf numFmtId="0" fontId="50" fillId="0" borderId="0" xfId="184" applyFont="1" applyFill="1" applyAlignment="1">
      <alignment horizontal="center"/>
    </xf>
    <xf numFmtId="172" fontId="124" fillId="0" borderId="0" xfId="0" applyFont="1" applyFill="1"/>
    <xf numFmtId="0" fontId="50" fillId="0" borderId="0" xfId="184" applyFont="1" applyFill="1" applyAlignment="1"/>
    <xf numFmtId="172" fontId="50" fillId="0" borderId="0" xfId="0" applyFont="1" applyFill="1" applyAlignment="1">
      <alignment horizontal="left"/>
    </xf>
    <xf numFmtId="173" fontId="50" fillId="14" borderId="0" xfId="59" applyNumberFormat="1" applyFont="1" applyFill="1" applyAlignment="1">
      <alignment wrapText="1"/>
    </xf>
    <xf numFmtId="173" fontId="50" fillId="0" borderId="0" xfId="59" applyNumberFormat="1" applyFont="1" applyFill="1" applyBorder="1" applyAlignment="1">
      <alignment wrapText="1"/>
    </xf>
    <xf numFmtId="0" fontId="50" fillId="0" borderId="0" xfId="184" applyFont="1" applyFill="1" applyAlignment="1">
      <alignment horizontal="left" vertical="center" wrapText="1"/>
    </xf>
    <xf numFmtId="0" fontId="50" fillId="0" borderId="0" xfId="184" applyFont="1" applyFill="1" applyAlignment="1">
      <alignment horizontal="left" wrapText="1"/>
    </xf>
    <xf numFmtId="172" fontId="50" fillId="0" borderId="0" xfId="0" applyFont="1" applyFill="1" applyAlignment="1">
      <alignment horizontal="left" vertical="center"/>
    </xf>
    <xf numFmtId="172" fontId="50" fillId="0" borderId="0" xfId="0" applyFont="1" applyFill="1" applyAlignment="1">
      <alignment horizontal="left" vertical="center" wrapText="1"/>
    </xf>
    <xf numFmtId="173" fontId="50" fillId="0" borderId="0" xfId="59" applyNumberFormat="1" applyFont="1" applyFill="1" applyAlignment="1">
      <alignment vertical="center" wrapText="1"/>
    </xf>
    <xf numFmtId="172" fontId="50" fillId="0" borderId="0" xfId="0" applyFont="1" applyFill="1" applyAlignment="1">
      <alignment horizontal="left" wrapText="1"/>
    </xf>
    <xf numFmtId="172" fontId="127" fillId="0" borderId="0" xfId="0" applyFont="1" applyFill="1" applyAlignment="1">
      <alignment wrapText="1"/>
    </xf>
    <xf numFmtId="173" fontId="50" fillId="14" borderId="0" xfId="59" applyNumberFormat="1" applyFont="1" applyFill="1" applyAlignment="1">
      <alignment vertical="center" wrapText="1"/>
    </xf>
    <xf numFmtId="172" fontId="125" fillId="0" borderId="0" xfId="0" applyFont="1" applyFill="1" applyAlignment="1"/>
    <xf numFmtId="0" fontId="50" fillId="0" borderId="0" xfId="184" applyFont="1" applyFill="1" applyAlignment="1">
      <alignment vertical="center" wrapText="1"/>
    </xf>
    <xf numFmtId="172" fontId="50" fillId="0" borderId="0" xfId="0" applyFont="1" applyFill="1" applyAlignment="1">
      <alignment wrapText="1"/>
    </xf>
    <xf numFmtId="172" fontId="50" fillId="0" borderId="0" xfId="0" applyFont="1" applyFill="1" applyAlignment="1">
      <alignment vertical="center" wrapText="1"/>
    </xf>
    <xf numFmtId="172" fontId="50" fillId="0" borderId="0" xfId="0" applyFont="1" applyFill="1" applyAlignment="1">
      <alignment horizontal="center" vertical="center"/>
    </xf>
    <xf numFmtId="173" fontId="50" fillId="0" borderId="0" xfId="0" applyNumberFormat="1" applyFont="1" applyFill="1"/>
    <xf numFmtId="0" fontId="50" fillId="14" borderId="0" xfId="184" applyFont="1" applyFill="1"/>
    <xf numFmtId="0" fontId="50" fillId="14" borderId="0" xfId="184" applyFont="1" applyFill="1" applyAlignment="1">
      <alignment horizontal="left"/>
    </xf>
    <xf numFmtId="9" fontId="50" fillId="0" borderId="0" xfId="184" applyNumberFormat="1" applyFont="1" applyFill="1"/>
    <xf numFmtId="173" fontId="50" fillId="0" borderId="0" xfId="184" applyNumberFormat="1" applyFont="1" applyFill="1"/>
    <xf numFmtId="0" fontId="50" fillId="0" borderId="0" xfId="184" applyFont="1" applyFill="1" applyAlignment="1">
      <alignment horizontal="center" wrapText="1"/>
    </xf>
    <xf numFmtId="10" fontId="50" fillId="0" borderId="0" xfId="184" applyNumberFormat="1" applyFont="1" applyFill="1"/>
    <xf numFmtId="174" fontId="50" fillId="0" borderId="0" xfId="93" applyNumberFormat="1" applyFont="1" applyFill="1" applyAlignment="1"/>
    <xf numFmtId="174" fontId="50" fillId="0" borderId="0" xfId="93" applyNumberFormat="1" applyFont="1" applyFill="1"/>
    <xf numFmtId="173" fontId="50" fillId="0" borderId="0" xfId="59" applyNumberFormat="1" applyFont="1" applyFill="1" applyAlignment="1">
      <alignment wrapText="1"/>
    </xf>
    <xf numFmtId="173" fontId="50" fillId="0" borderId="0" xfId="397" applyNumberFormat="1" applyFont="1" applyFill="1" applyAlignment="1">
      <alignment wrapText="1"/>
    </xf>
    <xf numFmtId="0" fontId="50" fillId="0" borderId="9" xfId="184" applyFont="1" applyFill="1" applyBorder="1"/>
    <xf numFmtId="0" fontId="50" fillId="0" borderId="9" xfId="184" applyFont="1" applyFill="1" applyBorder="1" applyAlignment="1">
      <alignment horizontal="center" wrapText="1"/>
    </xf>
    <xf numFmtId="0" fontId="50" fillId="0" borderId="9" xfId="184" applyFont="1" applyFill="1" applyBorder="1" applyAlignment="1">
      <alignment horizontal="center"/>
    </xf>
    <xf numFmtId="174" fontId="50" fillId="14" borderId="9" xfId="93" applyNumberFormat="1" applyFont="1" applyFill="1" applyBorder="1"/>
    <xf numFmtId="174" fontId="50" fillId="0" borderId="9" xfId="93" applyNumberFormat="1" applyFont="1" applyFill="1" applyBorder="1" applyAlignment="1"/>
    <xf numFmtId="174" fontId="50" fillId="0" borderId="9" xfId="93" applyNumberFormat="1" applyFont="1" applyFill="1" applyBorder="1"/>
    <xf numFmtId="174" fontId="50" fillId="0" borderId="9" xfId="184" applyNumberFormat="1" applyFont="1" applyFill="1" applyBorder="1"/>
    <xf numFmtId="173" fontId="50" fillId="14" borderId="9" xfId="59" applyNumberFormat="1" applyFont="1" applyFill="1" applyBorder="1"/>
    <xf numFmtId="173" fontId="50" fillId="0" borderId="9" xfId="59" applyNumberFormat="1" applyFont="1" applyFill="1" applyBorder="1" applyAlignment="1"/>
    <xf numFmtId="173" fontId="50" fillId="0" borderId="9" xfId="184" applyNumberFormat="1" applyFont="1" applyFill="1" applyBorder="1"/>
    <xf numFmtId="173" fontId="50" fillId="0" borderId="9" xfId="59" applyNumberFormat="1" applyFont="1" applyFill="1" applyBorder="1"/>
    <xf numFmtId="0" fontId="50" fillId="0" borderId="9" xfId="184" applyFont="1" applyFill="1" applyBorder="1" applyAlignment="1">
      <alignment horizontal="left" indent="2"/>
    </xf>
    <xf numFmtId="0" fontId="50" fillId="0" borderId="9" xfId="184" applyFont="1" applyFill="1" applyBorder="1" applyAlignment="1">
      <alignment horizontal="right"/>
    </xf>
    <xf numFmtId="10" fontId="50" fillId="0" borderId="9" xfId="184" applyNumberFormat="1" applyFont="1" applyFill="1" applyBorder="1"/>
    <xf numFmtId="173" fontId="105" fillId="14" borderId="0" xfId="59" applyNumberFormat="1" applyFont="1" applyFill="1"/>
    <xf numFmtId="173" fontId="105" fillId="14" borderId="0" xfId="59" applyNumberFormat="1" applyFont="1" applyFill="1" applyBorder="1"/>
    <xf numFmtId="0" fontId="54" fillId="14" borderId="0" xfId="187" applyFont="1" applyFill="1" applyBorder="1" applyAlignment="1"/>
    <xf numFmtId="173" fontId="54" fillId="14" borderId="0" xfId="59" applyNumberFormat="1" applyFont="1" applyFill="1" applyBorder="1" applyAlignment="1">
      <alignment horizontal="center"/>
    </xf>
    <xf numFmtId="43" fontId="54" fillId="14" borderId="0" xfId="59" applyNumberFormat="1" applyFont="1" applyFill="1" applyBorder="1" applyAlignment="1">
      <alignment horizontal="center"/>
    </xf>
    <xf numFmtId="43" fontId="54" fillId="14" borderId="0" xfId="59" applyNumberFormat="1" applyFont="1" applyFill="1" applyAlignment="1"/>
    <xf numFmtId="9" fontId="54" fillId="14" borderId="0" xfId="266" applyFont="1" applyFill="1" applyAlignment="1"/>
    <xf numFmtId="173" fontId="54" fillId="14" borderId="0" xfId="59" applyNumberFormat="1" applyFont="1" applyFill="1" applyBorder="1"/>
    <xf numFmtId="43" fontId="54" fillId="14" borderId="0" xfId="59" applyFont="1" applyFill="1" applyAlignment="1"/>
    <xf numFmtId="0" fontId="54" fillId="14" borderId="1" xfId="187" applyFont="1" applyFill="1" applyBorder="1" applyAlignment="1"/>
    <xf numFmtId="173" fontId="54" fillId="14" borderId="1" xfId="59" applyNumberFormat="1" applyFont="1" applyFill="1" applyBorder="1"/>
    <xf numFmtId="173" fontId="54" fillId="14" borderId="1" xfId="59" applyNumberFormat="1" applyFont="1" applyFill="1" applyBorder="1" applyAlignment="1">
      <alignment horizontal="center"/>
    </xf>
    <xf numFmtId="43" fontId="54" fillId="14" borderId="1" xfId="59" applyFont="1" applyFill="1" applyBorder="1" applyAlignment="1"/>
    <xf numFmtId="10" fontId="54" fillId="14" borderId="0" xfId="266" applyNumberFormat="1" applyFont="1" applyFill="1" applyAlignment="1">
      <alignment horizontal="right"/>
    </xf>
    <xf numFmtId="10" fontId="54" fillId="14" borderId="0" xfId="266" applyNumberFormat="1" applyFont="1" applyFill="1" applyAlignment="1" applyProtection="1">
      <alignment vertical="top"/>
      <protection locked="0"/>
    </xf>
    <xf numFmtId="172" fontId="61" fillId="0" borderId="3" xfId="201" applyFont="1" applyFill="1" applyBorder="1" applyAlignment="1"/>
    <xf numFmtId="173" fontId="54" fillId="0" borderId="0" xfId="211" applyNumberFormat="1" applyFont="1" applyFill="1"/>
    <xf numFmtId="0" fontId="44" fillId="0" borderId="0" xfId="390" applyNumberFormat="1" applyFont="1" applyFill="1" applyAlignment="1" applyProtection="1">
      <alignment horizontal="right" wrapText="1"/>
      <protection locked="0"/>
    </xf>
    <xf numFmtId="0" fontId="108" fillId="0" borderId="0" xfId="389" applyFont="1" applyFill="1" applyBorder="1" applyAlignment="1">
      <alignment horizontal="right" wrapText="1"/>
    </xf>
    <xf numFmtId="0" fontId="108" fillId="0" borderId="0" xfId="389" applyFont="1" applyFill="1" applyBorder="1" applyAlignment="1">
      <alignment wrapText="1"/>
    </xf>
    <xf numFmtId="10" fontId="108" fillId="0" borderId="0" xfId="391" applyNumberFormat="1" applyFont="1" applyFill="1" applyBorder="1" applyAlignment="1">
      <alignment wrapText="1"/>
    </xf>
    <xf numFmtId="173" fontId="108" fillId="0" borderId="0" xfId="392" applyNumberFormat="1" applyFont="1" applyFill="1" applyBorder="1" applyAlignment="1">
      <alignment wrapText="1"/>
    </xf>
    <xf numFmtId="0" fontId="108" fillId="0" borderId="0" xfId="389" applyFont="1" applyFill="1" applyAlignment="1">
      <alignment wrapText="1"/>
    </xf>
    <xf numFmtId="0" fontId="39" fillId="0" borderId="0" xfId="389" applyFont="1" applyFill="1" applyAlignment="1">
      <alignment horizontal="center" wrapText="1"/>
    </xf>
    <xf numFmtId="0" fontId="109" fillId="0" borderId="0" xfId="389" applyFont="1" applyFill="1" applyAlignment="1">
      <alignment horizontal="center" wrapText="1"/>
    </xf>
    <xf numFmtId="0" fontId="14" fillId="14" borderId="9" xfId="389" applyFont="1" applyFill="1" applyBorder="1" applyAlignment="1">
      <alignment wrapText="1"/>
    </xf>
    <xf numFmtId="37" fontId="108" fillId="0" borderId="0" xfId="389" applyNumberFormat="1" applyFont="1" applyFill="1" applyBorder="1" applyAlignment="1">
      <alignment horizontal="center" wrapText="1"/>
    </xf>
    <xf numFmtId="0" fontId="108" fillId="0" borderId="20" xfId="389" applyFont="1" applyFill="1" applyBorder="1" applyAlignment="1">
      <alignment horizontal="center" wrapText="1"/>
    </xf>
    <xf numFmtId="0" fontId="108" fillId="0" borderId="12" xfId="389" applyFont="1" applyFill="1" applyBorder="1" applyAlignment="1">
      <alignment wrapText="1"/>
    </xf>
    <xf numFmtId="0" fontId="108" fillId="0" borderId="12" xfId="389" applyFont="1" applyFill="1" applyBorder="1" applyAlignment="1">
      <alignment horizontal="center" wrapText="1"/>
    </xf>
    <xf numFmtId="0" fontId="108" fillId="0" borderId="21" xfId="389" applyFont="1" applyFill="1" applyBorder="1" applyAlignment="1">
      <alignment horizontal="center" wrapText="1"/>
    </xf>
    <xf numFmtId="0" fontId="108" fillId="0" borderId="0" xfId="389" applyFont="1" applyFill="1" applyAlignment="1">
      <alignment horizontal="right" wrapText="1"/>
    </xf>
    <xf numFmtId="0" fontId="109" fillId="0" borderId="0" xfId="389" applyFont="1" applyFill="1" applyBorder="1" applyAlignment="1">
      <alignment wrapText="1"/>
    </xf>
    <xf numFmtId="0" fontId="39" fillId="0" borderId="0" xfId="389" applyFont="1" applyFill="1" applyBorder="1" applyAlignment="1">
      <alignment horizontal="center" wrapText="1"/>
    </xf>
    <xf numFmtId="0" fontId="108" fillId="0" borderId="9" xfId="389" applyFont="1" applyFill="1" applyBorder="1" applyAlignment="1">
      <alignment wrapText="1"/>
    </xf>
    <xf numFmtId="37" fontId="108" fillId="0" borderId="0" xfId="389" applyNumberFormat="1" applyFont="1" applyFill="1" applyBorder="1" applyAlignment="1">
      <alignment wrapText="1"/>
    </xf>
    <xf numFmtId="0" fontId="108" fillId="0" borderId="0" xfId="389" applyFont="1" applyFill="1" applyBorder="1" applyAlignment="1">
      <alignment horizontal="center" wrapText="1"/>
    </xf>
    <xf numFmtId="0" fontId="108" fillId="0" borderId="26" xfId="389" applyFont="1" applyFill="1" applyBorder="1" applyAlignment="1">
      <alignment horizontal="center" wrapText="1"/>
    </xf>
    <xf numFmtId="0" fontId="108" fillId="0" borderId="27" xfId="389" applyFont="1" applyFill="1" applyBorder="1" applyAlignment="1">
      <alignment horizontal="center" wrapText="1"/>
    </xf>
    <xf numFmtId="0" fontId="108" fillId="0" borderId="28" xfId="389" applyFont="1" applyFill="1" applyBorder="1" applyAlignment="1">
      <alignment horizontal="center" wrapText="1"/>
    </xf>
    <xf numFmtId="37" fontId="14" fillId="14" borderId="9" xfId="389" applyNumberFormat="1" applyFont="1" applyFill="1" applyBorder="1" applyAlignment="1">
      <alignment wrapText="1"/>
    </xf>
    <xf numFmtId="0" fontId="14" fillId="0" borderId="9" xfId="389" applyFont="1" applyFill="1" applyBorder="1" applyAlignment="1">
      <alignment wrapText="1"/>
    </xf>
    <xf numFmtId="0" fontId="14" fillId="0" borderId="0" xfId="389" applyFont="1" applyFill="1" applyBorder="1" applyAlignment="1">
      <alignment wrapText="1"/>
    </xf>
    <xf numFmtId="173" fontId="105" fillId="0" borderId="0" xfId="59" applyNumberFormat="1" applyFont="1" applyFill="1"/>
    <xf numFmtId="0" fontId="128" fillId="0" borderId="0" xfId="389" applyFont="1" applyFill="1"/>
    <xf numFmtId="0" fontId="129" fillId="0" borderId="0" xfId="389" applyFont="1" applyFill="1" applyAlignment="1"/>
    <xf numFmtId="173" fontId="128" fillId="0" borderId="0" xfId="392" applyNumberFormat="1" applyFont="1" applyFill="1"/>
    <xf numFmtId="41" fontId="128" fillId="0" borderId="0" xfId="389" applyNumberFormat="1" applyFont="1" applyFill="1"/>
    <xf numFmtId="9" fontId="50" fillId="0" borderId="9" xfId="184" applyNumberFormat="1" applyFont="1" applyFill="1" applyBorder="1"/>
    <xf numFmtId="0" fontId="61" fillId="0" borderId="0" xfId="188" applyFont="1" applyFill="1"/>
    <xf numFmtId="174" fontId="54" fillId="14" borderId="10" xfId="93" applyNumberFormat="1" applyFont="1" applyFill="1" applyBorder="1"/>
    <xf numFmtId="173" fontId="50" fillId="0" borderId="1" xfId="59" applyNumberFormat="1" applyFont="1" applyFill="1" applyBorder="1" applyAlignment="1"/>
    <xf numFmtId="174" fontId="50" fillId="0" borderId="0" xfId="93" applyNumberFormat="1" applyFont="1" applyFill="1" applyBorder="1"/>
    <xf numFmtId="173" fontId="50" fillId="0" borderId="0" xfId="59" applyNumberFormat="1" applyFont="1" applyFill="1" applyBorder="1"/>
    <xf numFmtId="0" fontId="108" fillId="0" borderId="9" xfId="448" applyFont="1" applyFill="1" applyBorder="1" applyAlignment="1">
      <alignment wrapText="1"/>
    </xf>
    <xf numFmtId="41" fontId="108" fillId="0" borderId="9" xfId="448" applyNumberFormat="1" applyFont="1" applyFill="1" applyBorder="1"/>
    <xf numFmtId="0" fontId="108" fillId="14" borderId="9" xfId="448" applyFont="1" applyFill="1" applyBorder="1" applyAlignment="1">
      <alignment wrapText="1"/>
    </xf>
    <xf numFmtId="41" fontId="108" fillId="14" borderId="9" xfId="448" applyNumberFormat="1" applyFont="1" applyFill="1" applyBorder="1"/>
    <xf numFmtId="10" fontId="54" fillId="0" borderId="0" xfId="266" applyNumberFormat="1" applyFont="1" applyFill="1" applyAlignment="1"/>
    <xf numFmtId="41" fontId="108" fillId="0" borderId="9" xfId="440" applyNumberFormat="1" applyFont="1" applyFill="1" applyBorder="1"/>
    <xf numFmtId="0" fontId="111" fillId="0" borderId="9" xfId="440" applyFont="1" applyFill="1" applyBorder="1"/>
    <xf numFmtId="41" fontId="108" fillId="0" borderId="9" xfId="442" applyNumberFormat="1" applyFont="1" applyFill="1" applyBorder="1" applyAlignment="1">
      <alignment horizontal="right"/>
    </xf>
    <xf numFmtId="0" fontId="54" fillId="0" borderId="0" xfId="206" applyNumberFormat="1" applyFont="1" applyFill="1" applyAlignment="1" applyProtection="1">
      <alignment horizontal="center"/>
      <protection locked="0"/>
    </xf>
    <xf numFmtId="173" fontId="54" fillId="0" borderId="14" xfId="59" applyNumberFormat="1" applyFont="1" applyFill="1" applyBorder="1"/>
    <xf numFmtId="43" fontId="54" fillId="0" borderId="14" xfId="59" applyFont="1" applyFill="1" applyBorder="1"/>
    <xf numFmtId="41" fontId="108" fillId="14" borderId="9" xfId="440" applyNumberFormat="1" applyFont="1" applyFill="1" applyBorder="1"/>
    <xf numFmtId="37" fontId="108" fillId="14" borderId="9" xfId="440" applyNumberFormat="1" applyFont="1" applyFill="1" applyBorder="1" applyAlignment="1">
      <alignment wrapText="1"/>
    </xf>
    <xf numFmtId="41" fontId="108" fillId="14" borderId="9" xfId="445" applyNumberFormat="1" applyFont="1" applyFill="1" applyBorder="1"/>
    <xf numFmtId="37" fontId="108" fillId="14" borderId="23" xfId="440" applyNumberFormat="1" applyFont="1" applyFill="1" applyBorder="1" applyAlignment="1">
      <alignment wrapText="1"/>
    </xf>
    <xf numFmtId="0" fontId="108" fillId="14" borderId="9" xfId="440" applyFont="1" applyFill="1" applyBorder="1" applyAlignment="1">
      <alignment wrapText="1"/>
    </xf>
    <xf numFmtId="0" fontId="96" fillId="14" borderId="9" xfId="440" applyFont="1" applyFill="1" applyBorder="1"/>
    <xf numFmtId="41" fontId="108" fillId="14" borderId="20" xfId="440" applyNumberFormat="1" applyFont="1" applyFill="1" applyBorder="1"/>
    <xf numFmtId="41" fontId="108" fillId="14" borderId="22" xfId="440" applyNumberFormat="1" applyFont="1" applyFill="1" applyBorder="1"/>
    <xf numFmtId="41" fontId="108" fillId="14" borderId="9" xfId="440" applyNumberFormat="1" applyFont="1" applyFill="1" applyBorder="1" applyAlignment="1">
      <alignment horizontal="left" vertical="top" wrapText="1"/>
    </xf>
    <xf numFmtId="41" fontId="108" fillId="14" borderId="9" xfId="442" applyNumberFormat="1" applyFont="1" applyFill="1" applyBorder="1" applyAlignment="1">
      <alignment horizontal="right"/>
    </xf>
    <xf numFmtId="0" fontId="61" fillId="0" borderId="0" xfId="212" quotePrefix="1" applyFont="1" applyFill="1" applyAlignment="1">
      <alignment horizontal="left"/>
    </xf>
    <xf numFmtId="172" fontId="50" fillId="0" borderId="0" xfId="0" applyFont="1" applyFill="1" applyAlignment="1"/>
    <xf numFmtId="173" fontId="50" fillId="0" borderId="0" xfId="59" applyNumberFormat="1" applyFont="1" applyFill="1" applyAlignment="1"/>
    <xf numFmtId="173" fontId="50" fillId="0" borderId="0" xfId="59" applyNumberFormat="1" applyFont="1" applyFill="1" applyBorder="1" applyAlignment="1"/>
    <xf numFmtId="172" fontId="50" fillId="0" borderId="0" xfId="201" applyFont="1" applyFill="1" applyBorder="1" applyAlignment="1">
      <alignment horizontal="center" vertical="top"/>
    </xf>
    <xf numFmtId="172" fontId="50" fillId="0" borderId="0" xfId="201" applyFont="1" applyFill="1" applyBorder="1" applyAlignment="1">
      <alignment vertical="top"/>
    </xf>
    <xf numFmtId="172" fontId="50" fillId="0" borderId="0" xfId="0" applyFont="1" applyFill="1" applyAlignment="1">
      <alignment horizontal="center" wrapText="1"/>
    </xf>
    <xf numFmtId="172" fontId="50" fillId="0" borderId="0" xfId="0" applyFont="1" applyFill="1"/>
    <xf numFmtId="173" fontId="50" fillId="14" borderId="1" xfId="59" applyNumberFormat="1" applyFont="1" applyFill="1" applyBorder="1" applyAlignment="1"/>
    <xf numFmtId="172" fontId="50" fillId="0" borderId="0" xfId="0" applyFont="1" applyFill="1" applyAlignment="1">
      <alignment horizontal="left" wrapText="1"/>
    </xf>
    <xf numFmtId="0" fontId="50" fillId="14" borderId="0" xfId="184" applyFont="1" applyFill="1" applyAlignment="1">
      <alignment horizontal="left"/>
    </xf>
    <xf numFmtId="9" fontId="50" fillId="14" borderId="0" xfId="184" applyNumberFormat="1" applyFont="1" applyFill="1"/>
    <xf numFmtId="37" fontId="108" fillId="0" borderId="9" xfId="440" applyNumberFormat="1" applyFont="1" applyFill="1" applyBorder="1" applyAlignment="1">
      <alignment wrapText="1"/>
    </xf>
    <xf numFmtId="172" fontId="50" fillId="0" borderId="0" xfId="0" applyFont="1" applyFill="1" applyAlignment="1"/>
    <xf numFmtId="173" fontId="50" fillId="0" borderId="0" xfId="59" applyNumberFormat="1" applyFont="1" applyFill="1" applyAlignment="1"/>
    <xf numFmtId="173" fontId="50" fillId="14" borderId="0" xfId="59" applyNumberFormat="1" applyFont="1" applyFill="1" applyAlignment="1"/>
    <xf numFmtId="9" fontId="50" fillId="0" borderId="0" xfId="266" applyFont="1" applyFill="1" applyAlignment="1"/>
    <xf numFmtId="10" fontId="50" fillId="0" borderId="0" xfId="266" applyNumberFormat="1" applyFont="1" applyFill="1" applyAlignment="1"/>
    <xf numFmtId="172" fontId="50" fillId="0" borderId="0" xfId="0" applyFont="1" applyFill="1" applyAlignment="1">
      <alignment horizontal="center"/>
    </xf>
    <xf numFmtId="173" fontId="50" fillId="14" borderId="1" xfId="59" applyNumberFormat="1" applyFont="1" applyFill="1" applyBorder="1" applyAlignment="1"/>
    <xf numFmtId="172" fontId="50" fillId="0" borderId="0" xfId="0" applyFont="1" applyFill="1" applyAlignment="1">
      <alignment horizontal="left"/>
    </xf>
    <xf numFmtId="0" fontId="106" fillId="0" borderId="0" xfId="389" applyFont="1" applyFill="1" applyAlignment="1">
      <alignment horizontal="center"/>
    </xf>
    <xf numFmtId="172" fontId="50" fillId="0" borderId="0" xfId="0" applyFont="1" applyFill="1" applyAlignment="1">
      <alignment horizontal="center"/>
    </xf>
    <xf numFmtId="0" fontId="54" fillId="17" borderId="0" xfId="201" applyNumberFormat="1" applyFont="1" applyFill="1" applyAlignment="1">
      <alignment horizontal="right"/>
    </xf>
    <xf numFmtId="173" fontId="0" fillId="0" borderId="0" xfId="59" applyNumberFormat="1" applyFont="1" applyFill="1" applyAlignment="1"/>
    <xf numFmtId="173" fontId="44" fillId="0" borderId="0" xfId="59" applyNumberFormat="1" applyFont="1" applyFill="1" applyAlignment="1" applyProtection="1">
      <alignment horizontal="center"/>
      <protection locked="0"/>
    </xf>
    <xf numFmtId="49" fontId="44" fillId="0" borderId="0" xfId="390" applyNumberFormat="1" applyFont="1" applyFill="1" applyAlignment="1">
      <alignment horizontal="center"/>
    </xf>
    <xf numFmtId="173" fontId="14" fillId="0" borderId="0" xfId="59" applyNumberFormat="1" applyFont="1" applyFill="1" applyAlignment="1">
      <alignment horizontal="left"/>
    </xf>
    <xf numFmtId="0" fontId="123" fillId="0" borderId="0" xfId="59" applyNumberFormat="1" applyFont="1" applyFill="1" applyAlignment="1">
      <alignment horizontal="center"/>
    </xf>
    <xf numFmtId="0" fontId="50" fillId="0" borderId="0" xfId="59" applyNumberFormat="1" applyFont="1" applyFill="1" applyAlignment="1">
      <alignment horizontal="center"/>
    </xf>
    <xf numFmtId="0" fontId="50" fillId="0" borderId="0" xfId="59" applyNumberFormat="1" applyFont="1" applyFill="1" applyAlignment="1">
      <alignment horizontal="center" vertical="top"/>
    </xf>
    <xf numFmtId="172" fontId="50" fillId="0" borderId="0" xfId="201" applyFont="1" applyFill="1" applyBorder="1" applyAlignment="1">
      <alignment horizontal="left"/>
    </xf>
    <xf numFmtId="173" fontId="121" fillId="14" borderId="0" xfId="389" applyNumberFormat="1" applyFont="1" applyFill="1" applyAlignment="1">
      <alignment horizontal="center"/>
    </xf>
    <xf numFmtId="172" fontId="0" fillId="0" borderId="0" xfId="0"/>
    <xf numFmtId="172" fontId="130" fillId="0" borderId="0" xfId="0" applyFont="1"/>
    <xf numFmtId="172" fontId="132" fillId="0" borderId="0" xfId="0" applyFont="1" applyAlignment="1">
      <alignment horizontal="right"/>
    </xf>
    <xf numFmtId="3" fontId="0" fillId="0" borderId="0" xfId="0" applyNumberFormat="1"/>
    <xf numFmtId="170" fontId="131" fillId="0" borderId="0" xfId="266" applyNumberFormat="1" applyFont="1" applyFill="1" applyBorder="1"/>
    <xf numFmtId="41" fontId="0" fillId="0" borderId="0" xfId="0" applyNumberFormat="1"/>
    <xf numFmtId="41" fontId="0" fillId="0" borderId="0" xfId="0" applyNumberFormat="1" applyBorder="1"/>
    <xf numFmtId="172" fontId="133" fillId="0" borderId="0" xfId="0" applyFont="1"/>
    <xf numFmtId="172" fontId="0" fillId="0" borderId="0" xfId="0" applyAlignment="1">
      <alignment vertical="top"/>
    </xf>
    <xf numFmtId="43" fontId="54" fillId="0" borderId="0" xfId="59" applyNumberFormat="1" applyFont="1" applyFill="1"/>
    <xf numFmtId="172" fontId="135" fillId="0" borderId="0" xfId="0" applyFont="1"/>
    <xf numFmtId="0" fontId="135" fillId="0" borderId="0" xfId="398" applyFont="1"/>
    <xf numFmtId="173" fontId="135" fillId="0" borderId="0" xfId="59" applyNumberFormat="1" applyFont="1"/>
    <xf numFmtId="173" fontId="135" fillId="0" borderId="0" xfId="59" applyNumberFormat="1" applyFont="1" applyAlignment="1"/>
    <xf numFmtId="172" fontId="135" fillId="0" borderId="0" xfId="0" applyFont="1" applyAlignment="1">
      <alignment horizontal="center"/>
    </xf>
    <xf numFmtId="173" fontId="135" fillId="0" borderId="0" xfId="59" applyNumberFormat="1" applyFont="1" applyAlignment="1">
      <alignment horizontal="center"/>
    </xf>
    <xf numFmtId="0" fontId="135" fillId="0" borderId="0" xfId="398" applyFont="1" applyAlignment="1">
      <alignment horizontal="center"/>
    </xf>
    <xf numFmtId="43" fontId="135" fillId="0" borderId="0" xfId="59" applyFont="1" applyAlignment="1">
      <alignment horizontal="center"/>
    </xf>
    <xf numFmtId="10" fontId="135" fillId="0" borderId="0" xfId="266" applyNumberFormat="1" applyFont="1" applyAlignment="1">
      <alignment horizontal="center"/>
    </xf>
    <xf numFmtId="0" fontId="135" fillId="0" borderId="1" xfId="398" applyFont="1" applyBorder="1" applyAlignment="1">
      <alignment horizontal="center"/>
    </xf>
    <xf numFmtId="43" fontId="135" fillId="0" borderId="1" xfId="59" applyFont="1" applyBorder="1" applyAlignment="1">
      <alignment horizontal="center"/>
    </xf>
    <xf numFmtId="10" fontId="135" fillId="0" borderId="1" xfId="266" applyNumberFormat="1" applyFont="1" applyBorder="1" applyAlignment="1">
      <alignment horizontal="center"/>
    </xf>
    <xf numFmtId="173" fontId="135" fillId="0" borderId="1" xfId="59" applyNumberFormat="1" applyFont="1" applyBorder="1" applyAlignment="1">
      <alignment horizontal="center"/>
    </xf>
    <xf numFmtId="0" fontId="136" fillId="0" borderId="0" xfId="398" applyFont="1" applyAlignment="1">
      <alignment horizontal="center" vertical="center"/>
    </xf>
    <xf numFmtId="0" fontId="137" fillId="0" borderId="0" xfId="398" applyFont="1" applyAlignment="1">
      <alignment horizontal="center" vertical="center"/>
    </xf>
    <xf numFmtId="43" fontId="137" fillId="0" borderId="0" xfId="59" applyFont="1" applyAlignment="1">
      <alignment horizontal="center" vertical="center"/>
    </xf>
    <xf numFmtId="10" fontId="137" fillId="0" borderId="0" xfId="266" applyNumberFormat="1" applyFont="1" applyAlignment="1">
      <alignment horizontal="center" vertical="center"/>
    </xf>
    <xf numFmtId="173" fontId="137" fillId="0" borderId="0" xfId="59" applyNumberFormat="1" applyFont="1" applyAlignment="1">
      <alignment horizontal="center" vertical="center"/>
    </xf>
    <xf numFmtId="0" fontId="134" fillId="0" borderId="0" xfId="398" applyFont="1" applyAlignment="1">
      <alignment horizontal="center" vertical="center"/>
    </xf>
    <xf numFmtId="0" fontId="135" fillId="0" borderId="0" xfId="398" applyFont="1" applyAlignment="1">
      <alignment horizontal="center" vertical="center"/>
    </xf>
    <xf numFmtId="43" fontId="135" fillId="0" borderId="0" xfId="59" applyFont="1" applyAlignment="1">
      <alignment horizontal="center" vertical="center"/>
    </xf>
    <xf numFmtId="10" fontId="135" fillId="0" borderId="0" xfId="266" applyNumberFormat="1" applyFont="1" applyAlignment="1">
      <alignment horizontal="center" vertical="center"/>
    </xf>
    <xf numFmtId="173" fontId="135" fillId="0" borderId="0" xfId="59" applyNumberFormat="1" applyFont="1" applyAlignment="1">
      <alignment horizontal="center" vertical="center"/>
    </xf>
    <xf numFmtId="0" fontId="135" fillId="0" borderId="0" xfId="398" applyFont="1" applyAlignment="1">
      <alignment horizontal="left"/>
    </xf>
    <xf numFmtId="0" fontId="135" fillId="0" borderId="0" xfId="398" applyFont="1" applyFill="1" applyAlignment="1">
      <alignment horizontal="center"/>
    </xf>
    <xf numFmtId="2" fontId="135" fillId="0" borderId="0" xfId="398" applyNumberFormat="1" applyFont="1" applyFill="1" applyAlignment="1">
      <alignment horizontal="center"/>
    </xf>
    <xf numFmtId="43" fontId="135" fillId="0" borderId="0" xfId="59" applyFont="1" applyFill="1" applyBorder="1" applyAlignment="1">
      <alignment horizontal="center"/>
    </xf>
    <xf numFmtId="182" fontId="135" fillId="0" borderId="0" xfId="59" applyNumberFormat="1" applyFont="1" applyFill="1" applyAlignment="1"/>
    <xf numFmtId="173" fontId="134" fillId="0" borderId="4" xfId="59" applyNumberFormat="1" applyFont="1" applyBorder="1" applyAlignment="1">
      <alignment horizontal="center"/>
    </xf>
    <xf numFmtId="0" fontId="134" fillId="0" borderId="0" xfId="398" applyFont="1" applyAlignment="1">
      <alignment horizontal="left" vertical="center"/>
    </xf>
    <xf numFmtId="177" fontId="138" fillId="0" borderId="0" xfId="59" applyNumberFormat="1" applyFont="1" applyFill="1" applyAlignment="1">
      <alignment horizontal="center"/>
    </xf>
    <xf numFmtId="173" fontId="134" fillId="0" borderId="0" xfId="59" applyNumberFormat="1" applyFont="1" applyFill="1" applyBorder="1" applyAlignment="1">
      <alignment horizontal="center"/>
    </xf>
    <xf numFmtId="173" fontId="138" fillId="0" borderId="0" xfId="59" applyNumberFormat="1" applyFont="1" applyFill="1" applyAlignment="1">
      <alignment horizontal="center"/>
    </xf>
    <xf numFmtId="173" fontId="138" fillId="0" borderId="0" xfId="59" applyNumberFormat="1" applyFont="1" applyBorder="1" applyAlignment="1">
      <alignment horizontal="center"/>
    </xf>
    <xf numFmtId="0" fontId="135" fillId="0" borderId="0" xfId="398" applyFont="1" applyAlignment="1">
      <alignment horizontal="left" indent="1"/>
    </xf>
    <xf numFmtId="43" fontId="135" fillId="14" borderId="0" xfId="59" applyFont="1" applyFill="1" applyBorder="1" applyAlignment="1">
      <alignment horizontal="center"/>
    </xf>
    <xf numFmtId="10" fontId="135" fillId="0" borderId="0" xfId="266" applyNumberFormat="1" applyFont="1" applyFill="1" applyAlignment="1">
      <alignment horizontal="center"/>
    </xf>
    <xf numFmtId="173" fontId="135" fillId="14" borderId="0" xfId="59" applyNumberFormat="1" applyFont="1" applyFill="1" applyAlignment="1"/>
    <xf numFmtId="173" fontId="135" fillId="0" borderId="0" xfId="59" applyNumberFormat="1" applyFont="1" applyFill="1" applyAlignment="1"/>
    <xf numFmtId="173" fontId="135" fillId="14" borderId="0" xfId="59" applyNumberFormat="1" applyFont="1" applyFill="1"/>
    <xf numFmtId="173" fontId="135" fillId="14" borderId="0" xfId="59" applyNumberFormat="1" applyFont="1" applyFill="1" applyBorder="1" applyAlignment="1"/>
    <xf numFmtId="173" fontId="135" fillId="0" borderId="0" xfId="59" applyNumberFormat="1" applyFont="1" applyFill="1" applyBorder="1" applyAlignment="1"/>
    <xf numFmtId="173" fontId="135" fillId="14" borderId="0" xfId="59" applyNumberFormat="1" applyFont="1" applyFill="1" applyBorder="1"/>
    <xf numFmtId="173" fontId="139" fillId="0" borderId="14" xfId="59" applyNumberFormat="1" applyFont="1" applyFill="1" applyBorder="1" applyAlignment="1"/>
    <xf numFmtId="172" fontId="138" fillId="0" borderId="0" xfId="0" applyFont="1"/>
    <xf numFmtId="173" fontId="135" fillId="0" borderId="0" xfId="59" applyNumberFormat="1" applyFont="1" applyFill="1" applyBorder="1"/>
    <xf numFmtId="172" fontId="135" fillId="0" borderId="0" xfId="0" applyFont="1" applyFill="1"/>
    <xf numFmtId="10" fontId="135" fillId="0" borderId="0" xfId="0" applyNumberFormat="1" applyFont="1" applyFill="1" applyAlignment="1">
      <alignment horizontal="center" vertical="center" wrapText="1"/>
    </xf>
    <xf numFmtId="173" fontId="135" fillId="14" borderId="0" xfId="59" applyNumberFormat="1" applyFont="1" applyFill="1" applyAlignment="1">
      <alignment vertical="center" wrapText="1"/>
    </xf>
    <xf numFmtId="173" fontId="135" fillId="0" borderId="0" xfId="59" applyNumberFormat="1" applyFont="1" applyFill="1" applyAlignment="1">
      <alignment vertical="center" wrapText="1"/>
    </xf>
    <xf numFmtId="10" fontId="135" fillId="0" borderId="0" xfId="0" applyNumberFormat="1" applyFont="1" applyFill="1" applyAlignment="1">
      <alignment vertical="center" wrapText="1"/>
    </xf>
    <xf numFmtId="173" fontId="139" fillId="0" borderId="14" xfId="59" applyNumberFormat="1" applyFont="1" applyFill="1" applyBorder="1" applyAlignment="1">
      <alignment vertical="center" wrapText="1"/>
    </xf>
    <xf numFmtId="172" fontId="99" fillId="0" borderId="0" xfId="0" applyFont="1" applyFill="1" applyAlignment="1">
      <alignment vertical="center" wrapText="1"/>
    </xf>
    <xf numFmtId="173" fontId="135" fillId="0" borderId="0" xfId="59" applyNumberFormat="1" applyFont="1" applyFill="1"/>
    <xf numFmtId="0" fontId="135" fillId="0" borderId="0" xfId="398" applyFont="1" applyFill="1" applyAlignment="1">
      <alignment horizontal="left"/>
    </xf>
    <xf numFmtId="0" fontId="135" fillId="0" borderId="0" xfId="398" applyFont="1" applyFill="1" applyAlignment="1">
      <alignment horizontal="left" indent="1"/>
    </xf>
    <xf numFmtId="0" fontId="135" fillId="0" borderId="0" xfId="398" applyFont="1" applyFill="1" applyAlignment="1">
      <alignment horizontal="right"/>
    </xf>
    <xf numFmtId="10" fontId="135" fillId="0" borderId="0" xfId="0" applyNumberFormat="1" applyFont="1" applyFill="1" applyAlignment="1">
      <alignment horizontal="center"/>
    </xf>
    <xf numFmtId="43" fontId="135" fillId="0" borderId="0" xfId="59" applyNumberFormat="1" applyFont="1"/>
    <xf numFmtId="173" fontId="135" fillId="0" borderId="0" xfId="59" applyNumberFormat="1" applyFont="1" applyFill="1" applyAlignment="1">
      <alignment horizontal="right"/>
    </xf>
    <xf numFmtId="173" fontId="135" fillId="0" borderId="0" xfId="59" applyNumberFormat="1" applyFont="1" applyFill="1" applyAlignment="1">
      <alignment horizontal="right" vertical="center" wrapText="1"/>
    </xf>
    <xf numFmtId="43" fontId="135" fillId="14" borderId="0" xfId="59" applyFont="1" applyFill="1"/>
    <xf numFmtId="172" fontId="140" fillId="0" borderId="0" xfId="0" applyFont="1"/>
    <xf numFmtId="173" fontId="139" fillId="0" borderId="14" xfId="59" applyNumberFormat="1" applyFont="1" applyFill="1" applyBorder="1"/>
    <xf numFmtId="49" fontId="135" fillId="0" borderId="0" xfId="398" applyNumberFormat="1" applyFont="1" applyAlignment="1">
      <alignment horizontal="left" indent="1"/>
    </xf>
    <xf numFmtId="0" fontId="135" fillId="0" borderId="0" xfId="398" applyFont="1" applyAlignment="1">
      <alignment vertical="top"/>
    </xf>
    <xf numFmtId="172" fontId="135" fillId="0" borderId="0" xfId="0" applyFont="1" applyAlignment="1">
      <alignment vertical="top"/>
    </xf>
    <xf numFmtId="173" fontId="135" fillId="0" borderId="0" xfId="59" applyNumberFormat="1" applyFont="1" applyAlignment="1">
      <alignment vertical="top"/>
    </xf>
    <xf numFmtId="0" fontId="135" fillId="0" borderId="0" xfId="398" applyFont="1" applyFill="1" applyAlignment="1">
      <alignment vertical="top"/>
    </xf>
    <xf numFmtId="173" fontId="0" fillId="0" borderId="0" xfId="59" applyNumberFormat="1" applyFont="1"/>
    <xf numFmtId="174" fontId="54" fillId="0" borderId="3" xfId="93" applyNumberFormat="1" applyFont="1" applyFill="1" applyBorder="1"/>
    <xf numFmtId="43" fontId="88" fillId="0" borderId="0" xfId="59" applyNumberFormat="1" applyFont="1" applyFill="1" applyBorder="1" applyAlignment="1"/>
    <xf numFmtId="43" fontId="61" fillId="0" borderId="0" xfId="59" applyNumberFormat="1" applyFont="1" applyFill="1" applyBorder="1" applyAlignment="1"/>
    <xf numFmtId="173" fontId="44" fillId="0" borderId="0" xfId="59" applyNumberFormat="1" applyFont="1" applyFill="1" applyAlignment="1">
      <alignment horizontal="right"/>
    </xf>
    <xf numFmtId="173" fontId="44" fillId="0" borderId="0" xfId="59" applyNumberFormat="1" applyFont="1" applyAlignment="1">
      <alignment horizontal="right"/>
    </xf>
    <xf numFmtId="173" fontId="44" fillId="0" borderId="1" xfId="59" applyNumberFormat="1" applyFont="1" applyBorder="1" applyAlignment="1">
      <alignment horizontal="right"/>
    </xf>
    <xf numFmtId="173" fontId="44" fillId="0" borderId="0" xfId="0" applyNumberFormat="1" applyFont="1" applyAlignment="1"/>
    <xf numFmtId="173" fontId="44" fillId="0" borderId="1" xfId="59" applyNumberFormat="1" applyFont="1" applyBorder="1" applyAlignment="1"/>
    <xf numFmtId="172" fontId="135" fillId="0" borderId="0" xfId="0" applyFont="1" applyAlignment="1">
      <alignment horizontal="left" vertical="center" wrapText="1"/>
    </xf>
    <xf numFmtId="278" fontId="54" fillId="0" borderId="0" xfId="211" applyNumberFormat="1" applyFont="1" applyFill="1" applyProtection="1">
      <protection locked="0"/>
    </xf>
    <xf numFmtId="174" fontId="54" fillId="14" borderId="0" xfId="93" quotePrefix="1" applyNumberFormat="1" applyFont="1" applyFill="1" applyAlignment="1">
      <alignment horizontal="left"/>
    </xf>
    <xf numFmtId="173" fontId="54" fillId="14" borderId="0" xfId="59" applyNumberFormat="1" applyFont="1" applyFill="1" applyBorder="1" applyProtection="1">
      <protection locked="0"/>
    </xf>
    <xf numFmtId="0" fontId="121" fillId="14" borderId="0" xfId="389" applyFont="1" applyFill="1" applyAlignment="1">
      <alignment horizontal="left"/>
    </xf>
    <xf numFmtId="175" fontId="128" fillId="14" borderId="0" xfId="392" applyNumberFormat="1" applyFont="1" applyFill="1"/>
    <xf numFmtId="173" fontId="139" fillId="0" borderId="0" xfId="59" applyNumberFormat="1" applyFont="1" applyFill="1" applyBorder="1" applyAlignment="1">
      <alignment vertical="center" wrapText="1"/>
    </xf>
    <xf numFmtId="43" fontId="54" fillId="0" borderId="0" xfId="59" applyNumberFormat="1" applyFont="1" applyFill="1" applyBorder="1" applyAlignment="1">
      <alignment horizontal="center" wrapText="1"/>
    </xf>
    <xf numFmtId="43" fontId="50" fillId="0" borderId="0" xfId="184" applyNumberFormat="1" applyFont="1" applyFill="1"/>
    <xf numFmtId="182" fontId="102" fillId="14" borderId="0" xfId="59" applyNumberFormat="1" applyFont="1" applyFill="1"/>
    <xf numFmtId="182" fontId="21" fillId="0" borderId="0" xfId="59" applyNumberFormat="1" applyFont="1" applyFill="1" applyAlignment="1"/>
    <xf numFmtId="182" fontId="54" fillId="0" borderId="0" xfId="59" applyNumberFormat="1" applyFont="1" applyFill="1" applyBorder="1"/>
    <xf numFmtId="1" fontId="128" fillId="14" borderId="0" xfId="59" applyNumberFormat="1" applyFont="1" applyFill="1"/>
    <xf numFmtId="41" fontId="108" fillId="14" borderId="9" xfId="389" applyNumberFormat="1" applyFont="1" applyFill="1" applyBorder="1" applyAlignment="1">
      <alignment horizontal="left" vertical="center"/>
    </xf>
    <xf numFmtId="0" fontId="1" fillId="0" borderId="0" xfId="389" applyFont="1" applyFill="1" applyBorder="1" applyAlignment="1">
      <alignment horizontal="left"/>
    </xf>
    <xf numFmtId="41" fontId="142" fillId="0" borderId="0" xfId="389" applyNumberFormat="1" applyFont="1" applyFill="1" applyBorder="1"/>
    <xf numFmtId="0" fontId="61" fillId="18" borderId="0" xfId="206" applyFont="1" applyFill="1" applyBorder="1" applyAlignment="1">
      <alignment horizontal="center" wrapText="1"/>
    </xf>
    <xf numFmtId="173" fontId="50" fillId="14" borderId="9" xfId="540" applyNumberFormat="1" applyFont="1" applyFill="1" applyBorder="1" applyAlignment="1"/>
    <xf numFmtId="41" fontId="14" fillId="14" borderId="9" xfId="389" applyNumberFormat="1" applyFont="1" applyFill="1" applyBorder="1" applyAlignment="1">
      <alignment wrapText="1"/>
    </xf>
    <xf numFmtId="41" fontId="108" fillId="14" borderId="9" xfId="389" applyNumberFormat="1" applyFont="1" applyFill="1" applyBorder="1" applyAlignment="1">
      <alignment wrapText="1"/>
    </xf>
    <xf numFmtId="172" fontId="54" fillId="0" borderId="0" xfId="0" applyFont="1" applyFill="1" applyAlignment="1">
      <alignment horizontal="left" wrapText="1"/>
    </xf>
    <xf numFmtId="0" fontId="54" fillId="0" borderId="0" xfId="211" applyNumberFormat="1" applyFont="1" applyFill="1" applyAlignment="1" applyProtection="1">
      <alignment vertical="top" wrapText="1"/>
      <protection locked="0"/>
    </xf>
    <xf numFmtId="0" fontId="54" fillId="0" borderId="0" xfId="206" applyFont="1" applyFill="1" applyAlignment="1">
      <alignment vertical="top" wrapText="1"/>
    </xf>
    <xf numFmtId="0" fontId="54" fillId="0" borderId="0" xfId="0" applyNumberFormat="1" applyFont="1" applyFill="1" applyBorder="1" applyAlignment="1">
      <alignment horizontal="left" vertical="top" wrapText="1"/>
    </xf>
    <xf numFmtId="0" fontId="54" fillId="0" borderId="0" xfId="188" quotePrefix="1" applyNumberFormat="1" applyFont="1" applyFill="1" applyAlignment="1">
      <alignment vertical="top" wrapText="1"/>
    </xf>
    <xf numFmtId="0" fontId="54" fillId="0" borderId="0" xfId="188" applyNumberFormat="1" applyFont="1" applyFill="1" applyAlignment="1">
      <alignment vertical="top" wrapText="1"/>
    </xf>
    <xf numFmtId="172" fontId="54" fillId="0" borderId="0" xfId="211" applyFont="1" applyFill="1" applyAlignment="1">
      <alignment horizontal="center"/>
    </xf>
    <xf numFmtId="49" fontId="54" fillId="0" borderId="0" xfId="211" applyNumberFormat="1" applyFont="1" applyFill="1" applyAlignment="1" applyProtection="1">
      <alignment horizontal="center"/>
      <protection locked="0"/>
    </xf>
    <xf numFmtId="0" fontId="92" fillId="0" borderId="0" xfId="211" applyNumberFormat="1" applyFont="1" applyFill="1" applyAlignment="1" applyProtection="1">
      <alignment vertical="top" wrapText="1"/>
      <protection locked="0"/>
    </xf>
    <xf numFmtId="172" fontId="54" fillId="0" borderId="0" xfId="0" applyFont="1" applyFill="1" applyAlignment="1">
      <alignment horizontal="left" vertical="center" wrapText="1"/>
    </xf>
    <xf numFmtId="172" fontId="54" fillId="0" borderId="0" xfId="201" applyFont="1" applyFill="1" applyBorder="1" applyAlignment="1">
      <alignment horizontal="left"/>
    </xf>
    <xf numFmtId="172" fontId="54" fillId="0" borderId="0" xfId="201" applyFont="1" applyFill="1" applyBorder="1" applyAlignment="1">
      <alignment horizontal="left" vertical="top" wrapText="1"/>
    </xf>
    <xf numFmtId="172" fontId="54" fillId="0" borderId="0" xfId="201" applyFont="1" applyFill="1" applyBorder="1" applyAlignment="1">
      <alignment horizontal="left" wrapText="1"/>
    </xf>
    <xf numFmtId="172" fontId="61" fillId="0" borderId="19" xfId="201" applyFont="1" applyFill="1" applyBorder="1" applyAlignment="1">
      <alignment horizontal="center"/>
    </xf>
    <xf numFmtId="172" fontId="61" fillId="0" borderId="17" xfId="201" applyFont="1" applyFill="1" applyBorder="1" applyAlignment="1">
      <alignment horizontal="center"/>
    </xf>
    <xf numFmtId="172" fontId="54" fillId="0" borderId="0" xfId="201" applyFont="1" applyFill="1" applyAlignment="1">
      <alignment horizontal="left" vertical="top" wrapText="1"/>
    </xf>
    <xf numFmtId="172" fontId="54" fillId="0" borderId="19" xfId="0" applyFont="1" applyFill="1" applyBorder="1" applyAlignment="1">
      <alignment horizontal="center"/>
    </xf>
    <xf numFmtId="172" fontId="54" fillId="0" borderId="20" xfId="0" applyFont="1" applyFill="1" applyBorder="1" applyAlignment="1">
      <alignment horizontal="center"/>
    </xf>
    <xf numFmtId="172" fontId="54" fillId="0" borderId="17" xfId="0" applyFont="1" applyFill="1" applyBorder="1" applyAlignment="1">
      <alignment horizontal="center"/>
    </xf>
    <xf numFmtId="172" fontId="54" fillId="0" borderId="21" xfId="0" applyFont="1" applyFill="1" applyBorder="1" applyAlignment="1">
      <alignment horizontal="center"/>
    </xf>
    <xf numFmtId="172" fontId="54" fillId="0" borderId="0" xfId="0" applyFont="1" applyFill="1" applyAlignment="1">
      <alignment horizontal="left" vertical="top" wrapText="1"/>
    </xf>
    <xf numFmtId="172" fontId="61" fillId="0" borderId="22" xfId="201" applyFont="1" applyFill="1" applyBorder="1" applyAlignment="1">
      <alignment horizontal="center" wrapText="1"/>
    </xf>
    <xf numFmtId="172" fontId="61" fillId="0" borderId="15" xfId="201" applyFont="1" applyFill="1" applyBorder="1" applyAlignment="1">
      <alignment horizontal="center" wrapText="1"/>
    </xf>
    <xf numFmtId="0" fontId="54" fillId="0" borderId="0" xfId="188" applyNumberFormat="1" applyFont="1" applyFill="1" applyAlignment="1">
      <alignment horizontal="left" vertical="top" wrapText="1"/>
    </xf>
    <xf numFmtId="0" fontId="83" fillId="0" borderId="0" xfId="188" applyNumberFormat="1" applyFont="1" applyFill="1" applyAlignment="1">
      <alignment horizontal="left" vertical="top" wrapText="1"/>
    </xf>
    <xf numFmtId="172" fontId="61" fillId="15" borderId="16" xfId="0" applyFont="1" applyFill="1" applyBorder="1" applyAlignment="1">
      <alignment horizontal="center"/>
    </xf>
    <xf numFmtId="172" fontId="61" fillId="15" borderId="7" xfId="0" applyFont="1" applyFill="1" applyBorder="1" applyAlignment="1">
      <alignment horizontal="center"/>
    </xf>
    <xf numFmtId="172" fontId="61" fillId="15" borderId="23" xfId="0" applyFont="1" applyFill="1" applyBorder="1" applyAlignment="1">
      <alignment horizontal="center"/>
    </xf>
    <xf numFmtId="0" fontId="61" fillId="15" borderId="16" xfId="212" applyFont="1" applyFill="1" applyBorder="1" applyAlignment="1">
      <alignment horizontal="center"/>
    </xf>
    <xf numFmtId="0" fontId="61" fillId="15" borderId="7" xfId="212" applyFont="1" applyFill="1" applyBorder="1" applyAlignment="1">
      <alignment horizontal="center"/>
    </xf>
    <xf numFmtId="0" fontId="61" fillId="15" borderId="23" xfId="212" applyFont="1" applyFill="1" applyBorder="1" applyAlignment="1">
      <alignment horizontal="center"/>
    </xf>
    <xf numFmtId="172" fontId="61" fillId="0" borderId="0" xfId="0" applyFont="1" applyFill="1" applyAlignment="1">
      <alignment horizontal="center"/>
    </xf>
    <xf numFmtId="172" fontId="54" fillId="0" borderId="2" xfId="0" applyFont="1" applyFill="1" applyBorder="1" applyAlignment="1">
      <alignment horizontal="center"/>
    </xf>
    <xf numFmtId="0" fontId="106" fillId="0" borderId="0" xfId="389" applyFont="1" applyFill="1" applyAlignment="1">
      <alignment horizontal="center"/>
    </xf>
    <xf numFmtId="49" fontId="141" fillId="0" borderId="0" xfId="389" applyNumberFormat="1" applyFont="1" applyFill="1" applyBorder="1" applyAlignment="1">
      <alignment horizontal="center"/>
    </xf>
    <xf numFmtId="0" fontId="141" fillId="0" borderId="0" xfId="389" applyFont="1" applyFill="1" applyBorder="1" applyAlignment="1">
      <alignment horizontal="center"/>
    </xf>
    <xf numFmtId="49" fontId="108" fillId="0" borderId="0" xfId="389" applyNumberFormat="1" applyFont="1" applyFill="1" applyBorder="1" applyAlignment="1">
      <alignment horizontal="center"/>
    </xf>
    <xf numFmtId="0" fontId="108" fillId="0" borderId="0" xfId="389" applyFont="1" applyFill="1" applyBorder="1" applyAlignment="1">
      <alignment horizontal="center"/>
    </xf>
    <xf numFmtId="0" fontId="123" fillId="0" borderId="0" xfId="184" applyFont="1" applyFill="1" applyAlignment="1">
      <alignment horizontal="center"/>
    </xf>
    <xf numFmtId="172" fontId="123" fillId="0" borderId="0" xfId="0" applyFont="1" applyFill="1" applyAlignment="1">
      <alignment horizontal="center"/>
    </xf>
    <xf numFmtId="0" fontId="120" fillId="0" borderId="0" xfId="398" applyFont="1" applyFill="1" applyAlignment="1">
      <alignment horizontal="center"/>
    </xf>
    <xf numFmtId="0" fontId="13" fillId="0" borderId="0" xfId="184" applyFont="1" applyFill="1" applyAlignment="1">
      <alignment horizontal="center"/>
    </xf>
    <xf numFmtId="172" fontId="19" fillId="0" borderId="0" xfId="0" applyFont="1" applyFill="1" applyAlignment="1">
      <alignment horizontal="center"/>
    </xf>
    <xf numFmtId="172" fontId="126" fillId="0" borderId="0" xfId="0" applyFont="1" applyFill="1" applyAlignment="1">
      <alignment horizontal="center"/>
    </xf>
    <xf numFmtId="172" fontId="50" fillId="0" borderId="0" xfId="0" applyFont="1" applyFill="1" applyAlignment="1">
      <alignment horizontal="center"/>
    </xf>
    <xf numFmtId="172" fontId="54" fillId="0" borderId="0" xfId="0" applyFont="1" applyFill="1" applyBorder="1" applyAlignment="1">
      <alignment horizontal="center"/>
    </xf>
    <xf numFmtId="172" fontId="135" fillId="0" borderId="0" xfId="0" applyFont="1" applyAlignment="1">
      <alignment horizontal="left" vertical="center" wrapText="1"/>
    </xf>
    <xf numFmtId="0" fontId="134" fillId="0" borderId="0" xfId="398" applyFont="1" applyAlignment="1">
      <alignment horizontal="center"/>
    </xf>
    <xf numFmtId="0" fontId="135" fillId="0" borderId="0" xfId="398" applyFont="1" applyAlignment="1">
      <alignment horizontal="left" vertical="top" wrapText="1"/>
    </xf>
    <xf numFmtId="49" fontId="135" fillId="0" borderId="0" xfId="398" applyNumberFormat="1" applyFont="1" applyAlignment="1">
      <alignment horizontal="left" vertical="top" wrapText="1"/>
    </xf>
    <xf numFmtId="173" fontId="134" fillId="0" borderId="30" xfId="59" applyNumberFormat="1" applyFont="1" applyFill="1" applyBorder="1" applyAlignment="1">
      <alignment horizontal="center"/>
    </xf>
    <xf numFmtId="173" fontId="134" fillId="0" borderId="6" xfId="59" applyNumberFormat="1" applyFont="1" applyFill="1" applyBorder="1" applyAlignment="1">
      <alignment horizontal="center"/>
    </xf>
    <xf numFmtId="173" fontId="134" fillId="0" borderId="31" xfId="59" applyNumberFormat="1" applyFont="1" applyFill="1" applyBorder="1" applyAlignment="1">
      <alignment horizontal="center"/>
    </xf>
    <xf numFmtId="172" fontId="135" fillId="0" borderId="0" xfId="0" applyFont="1" applyAlignment="1">
      <alignment horizontal="left" wrapText="1"/>
    </xf>
  </cellXfs>
  <cellStyles count="542">
    <cellStyle name="¢ Currency [1]" xfId="2"/>
    <cellStyle name="¢ Currency [2]" xfId="3"/>
    <cellStyle name="¢ Currency [3]" xfId="4"/>
    <cellStyle name="£ Currency [0]" xfId="5"/>
    <cellStyle name="£ Currency [1]" xfId="6"/>
    <cellStyle name="£ Currency [2]" xfId="7"/>
    <cellStyle name="=C:\WINNT35\SYSTEM32\COMMAND.COM" xfId="1"/>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s" xfId="57"/>
    <cellStyle name="Centered Heading" xfId="58"/>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0] 3 2" xfId="395"/>
    <cellStyle name="Comma [0] 3 2 2" xfId="445"/>
    <cellStyle name="Comma [0] 3 2 2 2" xfId="533"/>
    <cellStyle name="Comma [0] 3 2 3" xfId="489"/>
    <cellStyle name="Comma [1]" xfId="69"/>
    <cellStyle name="Comma [2]" xfId="70"/>
    <cellStyle name="Comma [3]" xfId="71"/>
    <cellStyle name="Comma 0.0" xfId="72"/>
    <cellStyle name="Comma 0.00" xfId="73"/>
    <cellStyle name="Comma 0.000" xfId="74"/>
    <cellStyle name="Comma 0.0000" xfId="75"/>
    <cellStyle name="Comma 10" xfId="76"/>
    <cellStyle name="Comma 11" xfId="77"/>
    <cellStyle name="Comma 12" xfId="381"/>
    <cellStyle name="Comma 12 2" xfId="435"/>
    <cellStyle name="Comma 12 2 2" xfId="523"/>
    <cellStyle name="Comma 12 3" xfId="392"/>
    <cellStyle name="Comma 12 3 2" xfId="403"/>
    <cellStyle name="Comma 12 3 3" xfId="442"/>
    <cellStyle name="Comma 12 3 3 2" xfId="530"/>
    <cellStyle name="Comma 12 3 4" xfId="486"/>
    <cellStyle name="Comma 12 4" xfId="479"/>
    <cellStyle name="Comma 13" xfId="397"/>
    <cellStyle name="Comma 13 2" xfId="394"/>
    <cellStyle name="Comma 13 2 2" xfId="405"/>
    <cellStyle name="Comma 13 2 3" xfId="444"/>
    <cellStyle name="Comma 13 2 3 2" xfId="532"/>
    <cellStyle name="Comma 13 2 4" xfId="488"/>
    <cellStyle name="Comma 14" xfId="540"/>
    <cellStyle name="Comma 2" xfId="78"/>
    <cellStyle name="Comma 2 2" xfId="79"/>
    <cellStyle name="Comma 3" xfId="80"/>
    <cellStyle name="Comma 3 2" xfId="81"/>
    <cellStyle name="Comma 4" xfId="82"/>
    <cellStyle name="Comma 5" xfId="83"/>
    <cellStyle name="Comma 6" xfId="84"/>
    <cellStyle name="Comma 6 2" xfId="385"/>
    <cellStyle name="Comma 6 2 2" xfId="438"/>
    <cellStyle name="Comma 6 2 2 2" xfId="526"/>
    <cellStyle name="Comma 6 2 3" xfId="482"/>
    <cellStyle name="Comma 7" xfId="85"/>
    <cellStyle name="Comma 8" xfId="86"/>
    <cellStyle name="Comma 8 2" xfId="87"/>
    <cellStyle name="Comma 8 2 2" xfId="365"/>
    <cellStyle name="Comma 9" xfId="88"/>
    <cellStyle name="Comma 9 2" xfId="366"/>
    <cellStyle name="Comma Input" xfId="89"/>
    <cellStyle name="Comma0" xfId="90"/>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2" xfId="101"/>
    <cellStyle name="Currency 2 2" xfId="102"/>
    <cellStyle name="Currency 3" xfId="103"/>
    <cellStyle name="Currency 3 2" xfId="104"/>
    <cellStyle name="Currency 4" xfId="105"/>
    <cellStyle name="Currency Input" xfId="106"/>
    <cellStyle name="Currency0" xfId="107"/>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Fixed" xfId="136"/>
    <cellStyle name="FOOTER - Style1" xfId="137"/>
    <cellStyle name="g" xfId="138"/>
    <cellStyle name="general" xfId="139"/>
    <cellStyle name="General [C]" xfId="140"/>
    <cellStyle name="General [R]" xfId="141"/>
    <cellStyle name="Green" xfId="142"/>
    <cellStyle name="grey" xfId="143"/>
    <cellStyle name="Header1" xfId="144"/>
    <cellStyle name="Header2" xfId="145"/>
    <cellStyle name="Heading" xfId="146"/>
    <cellStyle name="Heading 1" xfId="147" builtinId="16" customBuiltin="1"/>
    <cellStyle name="Heading 2" xfId="148" builtinId="17" customBuiltin="1"/>
    <cellStyle name="Heading 2 2" xfId="149"/>
    <cellStyle name="Heading No Underline" xfId="150"/>
    <cellStyle name="Heading With Underline" xfId="151"/>
    <cellStyle name="Heading1" xfId="15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m" xfId="174"/>
    <cellStyle name="m1" xfId="175"/>
    <cellStyle name="m2" xfId="176"/>
    <cellStyle name="m3" xfId="177"/>
    <cellStyle name="Multiple" xfId="178"/>
    <cellStyle name="Negative" xfId="179"/>
    <cellStyle name="no dec" xfId="180"/>
    <cellStyle name="Normal" xfId="0" builtinId="0"/>
    <cellStyle name="Normal - Style1" xfId="181"/>
    <cellStyle name="Normal 10" xfId="182"/>
    <cellStyle name="Normal 10 2" xfId="367"/>
    <cellStyle name="Normal 10 2 2" xfId="421"/>
    <cellStyle name="Normal 10 2 2 2" xfId="509"/>
    <cellStyle name="Normal 10 2 3" xfId="465"/>
    <cellStyle name="Normal 10 3" xfId="390"/>
    <cellStyle name="Normal 10 4" xfId="408"/>
    <cellStyle name="Normal 10 4 2" xfId="496"/>
    <cellStyle name="Normal 10 5" xfId="452"/>
    <cellStyle name="Normal 11" xfId="183"/>
    <cellStyle name="Normal 12" xfId="380"/>
    <cellStyle name="Normal 12 2" xfId="389"/>
    <cellStyle name="Normal 12 2 2" xfId="401"/>
    <cellStyle name="Normal 12 2 2 2" xfId="448"/>
    <cellStyle name="Normal 12 2 2 2 2" xfId="536"/>
    <cellStyle name="Normal 12 2 2 3" xfId="492"/>
    <cellStyle name="Normal 12 2 3" xfId="440"/>
    <cellStyle name="Normal 12 2 3 2" xfId="528"/>
    <cellStyle name="Normal 12 2 4" xfId="484"/>
    <cellStyle name="Normal 12 3" xfId="434"/>
    <cellStyle name="Normal 12 3 2" xfId="522"/>
    <cellStyle name="Normal 12 4" xfId="478"/>
    <cellStyle name="Normal 13" xfId="388"/>
    <cellStyle name="Normal 13 2" xfId="393"/>
    <cellStyle name="Normal 13 2 2" xfId="404"/>
    <cellStyle name="Normal 13 2 2 2" xfId="449"/>
    <cellStyle name="Normal 13 2 2 2 2" xfId="537"/>
    <cellStyle name="Normal 13 2 2 3" xfId="493"/>
    <cellStyle name="Normal 13 2 3" xfId="443"/>
    <cellStyle name="Normal 13 2 3 2" xfId="531"/>
    <cellStyle name="Normal 13 2 4" xfId="487"/>
    <cellStyle name="Normal 13 3" xfId="400"/>
    <cellStyle name="Normal 13 3 2" xfId="447"/>
    <cellStyle name="Normal 13 3 2 2" xfId="535"/>
    <cellStyle name="Normal 13 3 3" xfId="491"/>
    <cellStyle name="Normal 13 4" xfId="439"/>
    <cellStyle name="Normal 13 4 2" xfId="527"/>
    <cellStyle name="Normal 13 5" xfId="483"/>
    <cellStyle name="Normal 14" xfId="541"/>
    <cellStyle name="Normal 16 2" xfId="396"/>
    <cellStyle name="Normal 16 2 2" xfId="406"/>
    <cellStyle name="Normal 16 2 2 2" xfId="450"/>
    <cellStyle name="Normal 16 2 2 2 2" xfId="538"/>
    <cellStyle name="Normal 16 2 2 3" xfId="494"/>
    <cellStyle name="Normal 16 2 3" xfId="446"/>
    <cellStyle name="Normal 16 2 3 2" xfId="534"/>
    <cellStyle name="Normal 16 2 4" xfId="490"/>
    <cellStyle name="Normal 2" xfId="184"/>
    <cellStyle name="Normal 2 2" xfId="185"/>
    <cellStyle name="Normal 3" xfId="186"/>
    <cellStyle name="Normal 3 2" xfId="187"/>
    <cellStyle name="Normal 3_Attach O, GG, Support -New Method 2-14-11" xfId="188"/>
    <cellStyle name="Normal 4" xfId="189"/>
    <cellStyle name="Normal 4 2" xfId="190"/>
    <cellStyle name="Normal 4_Attach O, GG, Support -New Method 2-14-11" xfId="191"/>
    <cellStyle name="Normal 5" xfId="192"/>
    <cellStyle name="Normal 5 2" xfId="387"/>
    <cellStyle name="Normal 6" xfId="193"/>
    <cellStyle name="Normal 6 2" xfId="194"/>
    <cellStyle name="Normal 6 2 2" xfId="195"/>
    <cellStyle name="Normal 6 2 2 2" xfId="196"/>
    <cellStyle name="Normal 6 2 2 2 2" xfId="371"/>
    <cellStyle name="Normal 6 2 2 2 2 2" xfId="425"/>
    <cellStyle name="Normal 6 2 2 2 2 2 2" xfId="513"/>
    <cellStyle name="Normal 6 2 2 2 2 3" xfId="469"/>
    <cellStyle name="Normal 6 2 2 2 3" xfId="412"/>
    <cellStyle name="Normal 6 2 2 2 3 2" xfId="500"/>
    <cellStyle name="Normal 6 2 2 2 4" xfId="456"/>
    <cellStyle name="Normal 6 2 2 3" xfId="370"/>
    <cellStyle name="Normal 6 2 2 3 2" xfId="424"/>
    <cellStyle name="Normal 6 2 2 3 2 2" xfId="512"/>
    <cellStyle name="Normal 6 2 2 3 3" xfId="468"/>
    <cellStyle name="Normal 6 2 2 4" xfId="411"/>
    <cellStyle name="Normal 6 2 2 4 2" xfId="499"/>
    <cellStyle name="Normal 6 2 2 5" xfId="455"/>
    <cellStyle name="Normal 6 2 3" xfId="197"/>
    <cellStyle name="Normal 6 2 3 2" xfId="372"/>
    <cellStyle name="Normal 6 2 3 2 2" xfId="426"/>
    <cellStyle name="Normal 6 2 3 2 2 2" xfId="514"/>
    <cellStyle name="Normal 6 2 3 2 3" xfId="470"/>
    <cellStyle name="Normal 6 2 3 3" xfId="413"/>
    <cellStyle name="Normal 6 2 3 3 2" xfId="501"/>
    <cellStyle name="Normal 6 2 3 4" xfId="457"/>
    <cellStyle name="Normal 6 2 4" xfId="369"/>
    <cellStyle name="Normal 6 2 4 2" xfId="423"/>
    <cellStyle name="Normal 6 2 4 2 2" xfId="511"/>
    <cellStyle name="Normal 6 2 4 3" xfId="467"/>
    <cellStyle name="Normal 6 2 5" xfId="386"/>
    <cellStyle name="Normal 6 2 6" xfId="410"/>
    <cellStyle name="Normal 6 2 6 2" xfId="498"/>
    <cellStyle name="Normal 6 2 7" xfId="454"/>
    <cellStyle name="Normal 6 3" xfId="198"/>
    <cellStyle name="Normal 6 3 2" xfId="199"/>
    <cellStyle name="Normal 6 3 2 2" xfId="374"/>
    <cellStyle name="Normal 6 3 2 2 2" xfId="428"/>
    <cellStyle name="Normal 6 3 2 2 2 2" xfId="516"/>
    <cellStyle name="Normal 6 3 2 2 3" xfId="472"/>
    <cellStyle name="Normal 6 3 2 3" xfId="415"/>
    <cellStyle name="Normal 6 3 2 3 2" xfId="503"/>
    <cellStyle name="Normal 6 3 2 4" xfId="459"/>
    <cellStyle name="Normal 6 3 3" xfId="373"/>
    <cellStyle name="Normal 6 3 3 2" xfId="427"/>
    <cellStyle name="Normal 6 3 3 2 2" xfId="515"/>
    <cellStyle name="Normal 6 3 3 3" xfId="471"/>
    <cellStyle name="Normal 6 3 4" xfId="414"/>
    <cellStyle name="Normal 6 3 4 2" xfId="502"/>
    <cellStyle name="Normal 6 3 5" xfId="458"/>
    <cellStyle name="Normal 6 4" xfId="200"/>
    <cellStyle name="Normal 6 4 2" xfId="375"/>
    <cellStyle name="Normal 6 4 2 2" xfId="429"/>
    <cellStyle name="Normal 6 4 2 2 2" xfId="517"/>
    <cellStyle name="Normal 6 4 2 3" xfId="473"/>
    <cellStyle name="Normal 6 4 3" xfId="416"/>
    <cellStyle name="Normal 6 4 3 2" xfId="504"/>
    <cellStyle name="Normal 6 4 4" xfId="460"/>
    <cellStyle name="Normal 6 5" xfId="368"/>
    <cellStyle name="Normal 6 5 2" xfId="422"/>
    <cellStyle name="Normal 6 5 2 2" xfId="510"/>
    <cellStyle name="Normal 6 5 3" xfId="466"/>
    <cellStyle name="Normal 6 6" xfId="409"/>
    <cellStyle name="Normal 6 6 2" xfId="497"/>
    <cellStyle name="Normal 6 7" xfId="453"/>
    <cellStyle name="Normal 7" xfId="201"/>
    <cellStyle name="Normal 8" xfId="202"/>
    <cellStyle name="Normal 8 2" xfId="203"/>
    <cellStyle name="Normal 8 2 2" xfId="377"/>
    <cellStyle name="Normal 8 2 2 2" xfId="431"/>
    <cellStyle name="Normal 8 2 2 2 2" xfId="519"/>
    <cellStyle name="Normal 8 2 2 3" xfId="475"/>
    <cellStyle name="Normal 8 2 3" xfId="418"/>
    <cellStyle name="Normal 8 2 3 2" xfId="506"/>
    <cellStyle name="Normal 8 2 4" xfId="462"/>
    <cellStyle name="Normal 8 3" xfId="376"/>
    <cellStyle name="Normal 8 3 2" xfId="430"/>
    <cellStyle name="Normal 8 3 2 2" xfId="518"/>
    <cellStyle name="Normal 8 3 3" xfId="474"/>
    <cellStyle name="Normal 8 4" xfId="384"/>
    <cellStyle name="Normal 8 4 2" xfId="437"/>
    <cellStyle name="Normal 8 4 2 2" xfId="525"/>
    <cellStyle name="Normal 8 4 3" xfId="481"/>
    <cellStyle name="Normal 8 5" xfId="417"/>
    <cellStyle name="Normal 8 5 2" xfId="505"/>
    <cellStyle name="Normal 8 6" xfId="461"/>
    <cellStyle name="Normal 9" xfId="204"/>
    <cellStyle name="Normal 9 2" xfId="205"/>
    <cellStyle name="Normal 9 2 2" xfId="379"/>
    <cellStyle name="Normal 9 2 2 2" xfId="433"/>
    <cellStyle name="Normal 9 2 2 2 2" xfId="521"/>
    <cellStyle name="Normal 9 2 2 3" xfId="477"/>
    <cellStyle name="Normal 9 2 3" xfId="420"/>
    <cellStyle name="Normal 9 2 3 2" xfId="508"/>
    <cellStyle name="Normal 9 2 4" xfId="464"/>
    <cellStyle name="Normal 9 3" xfId="378"/>
    <cellStyle name="Normal 9 3 2" xfId="432"/>
    <cellStyle name="Normal 9 3 2 2" xfId="520"/>
    <cellStyle name="Normal 9 3 3" xfId="476"/>
    <cellStyle name="Normal 9 4" xfId="407"/>
    <cellStyle name="Normal 9 4 2" xfId="451"/>
    <cellStyle name="Normal 9 4 2 2" xfId="539"/>
    <cellStyle name="Normal 9 4 3" xfId="495"/>
    <cellStyle name="Normal 9 5" xfId="419"/>
    <cellStyle name="Normal 9 5 2" xfId="507"/>
    <cellStyle name="Normal 9 6" xfId="463"/>
    <cellStyle name="Normal_21 Exh B" xfId="206"/>
    <cellStyle name="Normal_A" xfId="399"/>
    <cellStyle name="Normal_ATC Projected 2008 Monthly Plant Balances for Attachment O 2 (2)" xfId="207"/>
    <cellStyle name="Normal_Attachment GG Example 8 26 09" xfId="208"/>
    <cellStyle name="Normal_Attachment GG Template ER11-28 11-18-10" xfId="209"/>
    <cellStyle name="Normal_Attachment O Support - 2004 True-up" xfId="210"/>
    <cellStyle name="Normal_Attachment Os for 2002 True-up" xfId="211"/>
    <cellStyle name="Normal_interest calc Book1" xfId="383"/>
    <cellStyle name="Normal_Red Line and Clean Copy 5-5-2010 populated attachment 9 and supplement (2)" xfId="398"/>
    <cellStyle name="Normal_Schedule O Info for Mike" xfId="212"/>
    <cellStyle name="Output1_Back" xfId="213"/>
    <cellStyle name="p" xfId="214"/>
    <cellStyle name="p_2010 Attachment O  GG_082709" xfId="215"/>
    <cellStyle name="p_2010 Attachment O Template Supporting Work Papers_ITC Midwest" xfId="216"/>
    <cellStyle name="p_2010 Attachment O Template Supporting Work Papers_ITCTransmission" xfId="217"/>
    <cellStyle name="p_2010 Attachment O Template Supporting Work Papers_METC" xfId="218"/>
    <cellStyle name="p_2Mod11" xfId="219"/>
    <cellStyle name="p_aavidmod11.xls Chart 1" xfId="220"/>
    <cellStyle name="p_aavidmod11.xls Chart 2" xfId="221"/>
    <cellStyle name="p_Attachment O &amp; GG" xfId="222"/>
    <cellStyle name="p_charts for capm" xfId="223"/>
    <cellStyle name="p_DCF" xfId="224"/>
    <cellStyle name="p_DCF_2Mod11" xfId="225"/>
    <cellStyle name="p_DCF_aavidmod11.xls Chart 1" xfId="226"/>
    <cellStyle name="p_DCF_aavidmod11.xls Chart 2" xfId="227"/>
    <cellStyle name="p_DCF_charts for capm" xfId="228"/>
    <cellStyle name="p_DCF_DCF5" xfId="229"/>
    <cellStyle name="p_DCF_Template2" xfId="230"/>
    <cellStyle name="p_DCF_Template2_1" xfId="231"/>
    <cellStyle name="p_DCF_VERA" xfId="232"/>
    <cellStyle name="p_DCF_VERA_1" xfId="233"/>
    <cellStyle name="p_DCF_VERA_1_Template2" xfId="234"/>
    <cellStyle name="p_DCF_VERA_aavidmod11.xls Chart 2" xfId="235"/>
    <cellStyle name="p_DCF_VERA_Model02" xfId="236"/>
    <cellStyle name="p_DCF_VERA_Template2" xfId="237"/>
    <cellStyle name="p_DCF_VERA_VERA" xfId="238"/>
    <cellStyle name="p_DCF_VERA_VERA_1" xfId="239"/>
    <cellStyle name="p_DCF_VERA_VERA_2" xfId="240"/>
    <cellStyle name="p_DCF_VERA_VERA_Template2" xfId="241"/>
    <cellStyle name="p_DCF5" xfId="242"/>
    <cellStyle name="p_ITC Great Plains Formula 1-12-09a" xfId="243"/>
    <cellStyle name="p_ITCM 2010 Template" xfId="244"/>
    <cellStyle name="p_ITCMW 2009 Rate" xfId="245"/>
    <cellStyle name="p_ITCMW 2010 Rate_083109" xfId="246"/>
    <cellStyle name="p_ITCOP 2010 Rate_083109" xfId="247"/>
    <cellStyle name="p_ITCT 2009 Rate" xfId="248"/>
    <cellStyle name="p_ITCT New 2010 Attachment O &amp; GG_111209NL" xfId="249"/>
    <cellStyle name="p_METC 2010 Rate_083109" xfId="250"/>
    <cellStyle name="p_Template2" xfId="251"/>
    <cellStyle name="p_Template2_1" xfId="252"/>
    <cellStyle name="p_VERA" xfId="253"/>
    <cellStyle name="p_VERA_1" xfId="254"/>
    <cellStyle name="p_VERA_1_Template2" xfId="255"/>
    <cellStyle name="p_VERA_aavidmod11.xls Chart 2" xfId="256"/>
    <cellStyle name="p_VERA_Model02" xfId="257"/>
    <cellStyle name="p_VERA_Template2" xfId="258"/>
    <cellStyle name="p_VERA_VERA" xfId="259"/>
    <cellStyle name="p_VERA_VERA_1" xfId="260"/>
    <cellStyle name="p_VERA_VERA_2" xfId="261"/>
    <cellStyle name="p_VERA_VERA_Template2" xfId="262"/>
    <cellStyle name="p1" xfId="263"/>
    <cellStyle name="p2" xfId="264"/>
    <cellStyle name="p3" xfId="265"/>
    <cellStyle name="Percent" xfId="266" builtinId="5"/>
    <cellStyle name="Percent %" xfId="267"/>
    <cellStyle name="Percent % Long Underline" xfId="268"/>
    <cellStyle name="Percent (0)" xfId="269"/>
    <cellStyle name="Percent [0]" xfId="270"/>
    <cellStyle name="Percent [1]" xfId="271"/>
    <cellStyle name="Percent [2]" xfId="272"/>
    <cellStyle name="Percent [3]" xfId="273"/>
    <cellStyle name="Percent 0.0%" xfId="274"/>
    <cellStyle name="Percent 0.0% Long Underline" xfId="275"/>
    <cellStyle name="Percent 0.00%" xfId="276"/>
    <cellStyle name="Percent 0.00% Long Underline" xfId="277"/>
    <cellStyle name="Percent 0.000%" xfId="278"/>
    <cellStyle name="Percent 0.000% Long Underline" xfId="279"/>
    <cellStyle name="Percent 0.0000%" xfId="280"/>
    <cellStyle name="Percent 0.0000% Long Underline" xfId="281"/>
    <cellStyle name="Percent 2" xfId="282"/>
    <cellStyle name="Percent 2 2" xfId="283"/>
    <cellStyle name="Percent 3" xfId="284"/>
    <cellStyle name="Percent 3 2" xfId="285"/>
    <cellStyle name="Percent 4" xfId="286"/>
    <cellStyle name="Percent 5" xfId="287"/>
    <cellStyle name="Percent 6" xfId="288"/>
    <cellStyle name="Percent 7" xfId="289"/>
    <cellStyle name="Percent 8" xfId="382"/>
    <cellStyle name="Percent 8 2" xfId="436"/>
    <cellStyle name="Percent 8 2 2" xfId="524"/>
    <cellStyle name="Percent 8 3" xfId="480"/>
    <cellStyle name="Percent 9 2 2" xfId="391"/>
    <cellStyle name="Percent 9 2 2 2" xfId="402"/>
    <cellStyle name="Percent 9 2 2 3" xfId="441"/>
    <cellStyle name="Percent 9 2 2 3 2" xfId="529"/>
    <cellStyle name="Percent 9 2 2 4" xfId="485"/>
    <cellStyle name="Percent Input" xfId="290"/>
    <cellStyle name="Percent0" xfId="291"/>
    <cellStyle name="Percent1" xfId="292"/>
    <cellStyle name="Percent2" xfId="293"/>
    <cellStyle name="PSChar" xfId="294"/>
    <cellStyle name="PSDate" xfId="295"/>
    <cellStyle name="PSDec" xfId="296"/>
    <cellStyle name="PSdesc" xfId="297"/>
    <cellStyle name="PSHeading" xfId="298"/>
    <cellStyle name="PSInt" xfId="299"/>
    <cellStyle name="PSSpacer" xfId="300"/>
    <cellStyle name="PStest" xfId="301"/>
    <cellStyle name="R00A" xfId="302"/>
    <cellStyle name="R00B" xfId="303"/>
    <cellStyle name="R00L" xfId="304"/>
    <cellStyle name="R01A" xfId="305"/>
    <cellStyle name="R01B" xfId="306"/>
    <cellStyle name="R01H" xfId="307"/>
    <cellStyle name="R01L" xfId="308"/>
    <cellStyle name="R02A" xfId="309"/>
    <cellStyle name="R02B" xfId="310"/>
    <cellStyle name="R02H" xfId="311"/>
    <cellStyle name="R02L" xfId="312"/>
    <cellStyle name="R03A" xfId="313"/>
    <cellStyle name="R03B" xfId="314"/>
    <cellStyle name="R03H" xfId="315"/>
    <cellStyle name="R03L" xfId="316"/>
    <cellStyle name="R04A" xfId="317"/>
    <cellStyle name="R04B" xfId="318"/>
    <cellStyle name="R04H" xfId="319"/>
    <cellStyle name="R04L" xfId="320"/>
    <cellStyle name="R05A" xfId="321"/>
    <cellStyle name="R05B" xfId="322"/>
    <cellStyle name="R05H" xfId="323"/>
    <cellStyle name="R05L" xfId="324"/>
    <cellStyle name="R05L 2" xfId="325"/>
    <cellStyle name="R06A" xfId="326"/>
    <cellStyle name="R06B" xfId="327"/>
    <cellStyle name="R06H" xfId="328"/>
    <cellStyle name="R06L" xfId="329"/>
    <cellStyle name="R07A" xfId="330"/>
    <cellStyle name="R07B" xfId="331"/>
    <cellStyle name="R07H" xfId="332"/>
    <cellStyle name="R07L" xfId="333"/>
    <cellStyle name="rborder" xfId="334"/>
    <cellStyle name="red" xfId="335"/>
    <cellStyle name="s_HardInc " xfId="336"/>
    <cellStyle name="s_HardInc _ITC Great Plains Formula 1-12-09a" xfId="337"/>
    <cellStyle name="scenario" xfId="338"/>
    <cellStyle name="SECTION" xfId="339"/>
    <cellStyle name="Sheetmult" xfId="340"/>
    <cellStyle name="Shtmultx" xfId="341"/>
    <cellStyle name="Style 1" xfId="342"/>
    <cellStyle name="STYLE1" xfId="343"/>
    <cellStyle name="STYLE2" xfId="344"/>
    <cellStyle name="System Defined" xfId="345"/>
    <cellStyle name="TableHeading" xfId="346"/>
    <cellStyle name="tb" xfId="347"/>
    <cellStyle name="Tickmark" xfId="348"/>
    <cellStyle name="Title1" xfId="349"/>
    <cellStyle name="top" xfId="350"/>
    <cellStyle name="Total" xfId="351" builtinId="25" customBuiltin="1"/>
    <cellStyle name="w" xfId="352"/>
    <cellStyle name="XComma" xfId="353"/>
    <cellStyle name="XComma 0.0" xfId="354"/>
    <cellStyle name="XComma 0.00" xfId="355"/>
    <cellStyle name="XComma 0.000" xfId="356"/>
    <cellStyle name="XCurrency" xfId="357"/>
    <cellStyle name="XCurrency 0.0" xfId="358"/>
    <cellStyle name="XCurrency 0.00" xfId="359"/>
    <cellStyle name="XCurrency 0.000" xfId="360"/>
    <cellStyle name="yra" xfId="361"/>
    <cellStyle name="yrActual" xfId="362"/>
    <cellStyle name="yre" xfId="363"/>
    <cellStyle name="yrExpect" xfId="364"/>
  </cellStyles>
  <dxfs count="0"/>
  <tableStyles count="0" defaultTableStyle="TableStyleMedium2" defaultPivotStyle="PivotStyleLight16"/>
  <colors>
    <mruColors>
      <color rgb="FFFFFF99"/>
      <color rgb="FFFF00FF"/>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23" Type="http://schemas.openxmlformats.org/officeDocument/2006/relationships/styles" Target="styles.xml" />
  <Relationship Id="rId22" Type="http://schemas.openxmlformats.org/officeDocument/2006/relationships/theme" Target="theme/theme1.xml" />
  <Relationship Id="rId24" Type="http://schemas.openxmlformats.org/officeDocument/2006/relationships/sharedStrings" Target="sharedStrings.xml" />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worksheet" Target="worksheets/sheet13.xml" />
  <Relationship Id="rId14" Type="http://schemas.openxmlformats.org/officeDocument/2006/relationships/worksheet" Target="worksheets/sheet14.xml" />
  <Relationship Id="rId15" Type="http://schemas.openxmlformats.org/officeDocument/2006/relationships/worksheet" Target="worksheets/sheet15.xml" />
  <Relationship Id="rId16" Type="http://schemas.openxmlformats.org/officeDocument/2006/relationships/worksheet" Target="worksheets/sheet16.xml" />
  <Relationship Id="rId18" Type="http://schemas.openxmlformats.org/officeDocument/2006/relationships/externalLink" Target="externalLinks/externalLink2.xml" />
  <Relationship Id="rId26" Type="http://schemas.openxmlformats.org/officeDocument/2006/relationships/customXml" Target="../customXml/item1.xml" />
  <Relationship Id="rId21" Type="http://schemas.openxmlformats.org/officeDocument/2006/relationships/externalLink" Target="externalLinks/externalLink5.xml" />
  <Relationship Id="rId17" Type="http://schemas.openxmlformats.org/officeDocument/2006/relationships/externalLink" Target="externalLinks/externalLink1.xml" />
  <Relationship Id="rId25" Type="http://schemas.openxmlformats.org/officeDocument/2006/relationships/calcChain" Target="calcChain.xml" />
  <Relationship Id="rId20" Type="http://schemas.openxmlformats.org/officeDocument/2006/relationships/externalLink" Target="externalLinks/externalLink4.xml" />
  <Relationship Id="rId28" Type="http://schemas.openxmlformats.org/officeDocument/2006/relationships/customXml" Target="../customXml/item3.xml" />
  <Relationship Id="rId19" Type="http://schemas.openxmlformats.org/officeDocument/2006/relationships/externalLink" Target="externalLinks/externalLink3.xml" />
  <Relationship Id="rId27" Type="http://schemas.openxmlformats.org/officeDocument/2006/relationships/customXml" Target="../customXml/item2.xml" />
</Relationships>
</file>

<file path=xl/externalLinks/_rels/externalLink1.xml.rels>&#65279;<?xml version="1.0" encoding="UTF-8" standalone="yes"?>
<Relationships xmlns="http://schemas.openxmlformats.org/package/2006/relationships">
  <Relationship Id="rId1" Type="http://schemas.microsoft.com/office/2006/relationships/xlExternalLinkPath/xlPathMissing" Target="Masterdata"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A:\PAWATER\WATERA.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NBNW301\VOL5\STAFF\jdm\misc\2001%202Q\MERGER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file:///\\FNBNW301\VOL5\STAFF\jdm\KMH\Merge\FERC%20Filing\FERC%20stmts2.XLS" TargetMode="External" />
</Relationships>
</file>

<file path=xl/externalLinks/_rels/externalLink5.xml.rels>&#65279;<?xml version="1.0" encoding="UTF-8" standalone="yes"?>
<Relationships xmlns="http://schemas.openxmlformats.org/package/2006/relationships">
  <Relationship Id="rId1" Type="http://schemas.microsoft.com/office/2006/relationships/xlExternalLinkPath/xlPathMissing" Target="Rev_Req"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204"/>
      <sheetName val="222"/>
      <sheetName val="876"/>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qtr 2000"/>
      <sheetName val="Summary"/>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Oct-00"/>
      <sheetName val="CONSOLIDATING W ADJUSTMENTS"/>
      <sheetName val="mktprice"/>
      <sheetName val="Assumptions"/>
      <sheetName val="State ETR Calc"/>
      <sheetName val="LineItem Data"/>
      <sheetName val="SETUP-Review"/>
    </sheetNames>
    <sheetDataSet>
      <sheetData sheetId="0" refreshError="1">
        <row r="6">
          <cell r="A6" t="str">
            <v>UNAUDITED PROFORMA CONDENSED STATEMENT OF INCOME</v>
          </cell>
          <cell r="K6" t="str">
            <v>UNAUDITED PROFORMA CONDENSED STATEMENT OF INCOME</v>
          </cell>
          <cell r="V6" t="str">
            <v>UNAUDITED PRO FORMA COMBINED CONDENSED STATEMENT OF INCOME</v>
          </cell>
        </row>
        <row r="7">
          <cell r="A7" t="str">
            <v>(Millions Except Per Share Data)</v>
          </cell>
          <cell r="K7" t="str">
            <v>(Millions Except Per Share Data)</v>
          </cell>
          <cell r="V7" t="str">
            <v>(Millions Except Per Share Data)</v>
          </cell>
        </row>
        <row r="8">
          <cell r="A8" t="str">
            <v>FOR THE first six months ended June 30, 2000</v>
          </cell>
          <cell r="K8" t="str">
            <v>FOR THE first six months ended June 30, 2000</v>
          </cell>
          <cell r="V8" t="str">
            <v>FOR THE first six months ended June 30, 2000</v>
          </cell>
        </row>
        <row r="11">
          <cell r="I11" t="str">
            <v>PECO</v>
          </cell>
          <cell r="Y11" t="str">
            <v>PECO</v>
          </cell>
        </row>
        <row r="12">
          <cell r="D12" t="str">
            <v>PECO</v>
          </cell>
          <cell r="G12" t="str">
            <v>PECO Energy</v>
          </cell>
          <cell r="I12" t="str">
            <v>Energy</v>
          </cell>
          <cell r="P12" t="str">
            <v>UNICOM</v>
          </cell>
          <cell r="R12" t="str">
            <v>UNICOM</v>
          </cell>
          <cell r="T12" t="str">
            <v>UNICOM</v>
          </cell>
          <cell r="Y12" t="str">
            <v>Energy</v>
          </cell>
        </row>
        <row r="13">
          <cell r="D13" t="str">
            <v>Energy</v>
          </cell>
          <cell r="F13" t="str">
            <v xml:space="preserve">Chg in </v>
          </cell>
          <cell r="G13" t="str">
            <v>Transition Bond</v>
          </cell>
          <cell r="I13" t="str">
            <v>Prior to</v>
          </cell>
          <cell r="N13" t="str">
            <v>UNICOM</v>
          </cell>
          <cell r="P13" t="str">
            <v>Fossil Sale</v>
          </cell>
          <cell r="R13" t="str">
            <v>Share Buyback</v>
          </cell>
          <cell r="T13" t="str">
            <v>Prior to</v>
          </cell>
          <cell r="Y13" t="str">
            <v>Prior to</v>
          </cell>
          <cell r="AA13" t="str">
            <v>UNICOM</v>
          </cell>
          <cell r="AD13" t="str">
            <v>Merger</v>
          </cell>
          <cell r="AF13" t="str">
            <v>Merger</v>
          </cell>
        </row>
        <row r="14">
          <cell r="D14" t="str">
            <v>As</v>
          </cell>
          <cell r="F14" t="str">
            <v>Acct</v>
          </cell>
          <cell r="G14" t="str">
            <v>ProForma</v>
          </cell>
          <cell r="I14" t="str">
            <v>Merger</v>
          </cell>
          <cell r="N14" t="str">
            <v>As</v>
          </cell>
          <cell r="P14" t="str">
            <v>ProForma</v>
          </cell>
          <cell r="R14" t="str">
            <v>ProForma</v>
          </cell>
          <cell r="T14" t="str">
            <v>Merger</v>
          </cell>
          <cell r="Y14" t="str">
            <v>Merger</v>
          </cell>
          <cell r="AA14" t="str">
            <v>as</v>
          </cell>
          <cell r="AB14" t="str">
            <v>ComEd</v>
          </cell>
          <cell r="AD14" t="str">
            <v>Related</v>
          </cell>
          <cell r="AF14" t="str">
            <v>ProForma</v>
          </cell>
          <cell r="AH14" t="str">
            <v>Exelon</v>
          </cell>
        </row>
        <row r="15">
          <cell r="D15" t="str">
            <v>Filed</v>
          </cell>
          <cell r="E15" t="str">
            <v>Reclasses</v>
          </cell>
          <cell r="F15" t="str">
            <v>Princ</v>
          </cell>
          <cell r="G15" t="str">
            <v>Adjustments(1)</v>
          </cell>
          <cell r="I15" t="str">
            <v>ProForma</v>
          </cell>
          <cell r="N15" t="str">
            <v>Filed</v>
          </cell>
          <cell r="P15" t="str">
            <v>Adjustments(3)</v>
          </cell>
          <cell r="R15" t="str">
            <v>Adjustments(4)</v>
          </cell>
          <cell r="T15" t="str">
            <v>ProForma</v>
          </cell>
          <cell r="Y15" t="str">
            <v>ProForma</v>
          </cell>
          <cell r="AA15" t="str">
            <v>filed</v>
          </cell>
          <cell r="AB15" t="str">
            <v>Reclasses</v>
          </cell>
          <cell r="AD15" t="str">
            <v>Costs</v>
          </cell>
          <cell r="AF15" t="str">
            <v>Adjustments</v>
          </cell>
          <cell r="AH15" t="str">
            <v>ProForma</v>
          </cell>
        </row>
        <row r="16">
          <cell r="AD16" t="str">
            <v>UCM 25</v>
          </cell>
        </row>
        <row r="17">
          <cell r="A17" t="str">
            <v>Operating Revenues</v>
          </cell>
          <cell r="K17" t="str">
            <v>Operating Revenues</v>
          </cell>
          <cell r="V17" t="str">
            <v>Operating Revenues</v>
          </cell>
          <cell r="AD17" t="str">
            <v>PECO 20</v>
          </cell>
        </row>
        <row r="18">
          <cell r="B18" t="str">
            <v>Electric</v>
          </cell>
          <cell r="E18">
            <v>4</v>
          </cell>
          <cell r="F18">
            <v>0</v>
          </cell>
          <cell r="G18">
            <v>0</v>
          </cell>
          <cell r="I18">
            <v>4</v>
          </cell>
          <cell r="L18" t="str">
            <v>Electric</v>
          </cell>
          <cell r="N18">
            <v>3465</v>
          </cell>
          <cell r="P18">
            <v>0</v>
          </cell>
          <cell r="R18">
            <v>0</v>
          </cell>
          <cell r="T18">
            <v>3465</v>
          </cell>
          <cell r="W18" t="str">
            <v>Electric</v>
          </cell>
          <cell r="Y18">
            <v>4</v>
          </cell>
          <cell r="AA18">
            <v>3465</v>
          </cell>
          <cell r="AB18">
            <v>3</v>
          </cell>
          <cell r="AF18">
            <v>-14.047000000000001</v>
          </cell>
          <cell r="AH18">
            <v>3457.953</v>
          </cell>
        </row>
        <row r="19">
          <cell r="B19" t="str">
            <v>Gas</v>
          </cell>
          <cell r="D19">
            <v>2716</v>
          </cell>
          <cell r="E19">
            <v>6</v>
          </cell>
          <cell r="G19">
            <v>0</v>
          </cell>
          <cell r="I19">
            <v>2722</v>
          </cell>
          <cell r="L19" t="str">
            <v>Gas</v>
          </cell>
          <cell r="N19">
            <v>0</v>
          </cell>
          <cell r="P19">
            <v>0</v>
          </cell>
          <cell r="R19">
            <v>0</v>
          </cell>
          <cell r="T19">
            <v>0</v>
          </cell>
          <cell r="W19" t="str">
            <v>Gas</v>
          </cell>
          <cell r="Y19">
            <v>2722</v>
          </cell>
          <cell r="AA19">
            <v>0</v>
          </cell>
          <cell r="AB19">
            <v>0</v>
          </cell>
          <cell r="AD19">
            <v>0</v>
          </cell>
          <cell r="AF19">
            <v>0</v>
          </cell>
          <cell r="AH19">
            <v>2722</v>
          </cell>
        </row>
        <row r="20">
          <cell r="B20" t="str">
            <v xml:space="preserve">   Total Operating Revenues</v>
          </cell>
          <cell r="D20">
            <v>2716</v>
          </cell>
          <cell r="E20">
            <v>10</v>
          </cell>
          <cell r="F20">
            <v>0</v>
          </cell>
          <cell r="G20">
            <v>0</v>
          </cell>
          <cell r="I20">
            <v>2726</v>
          </cell>
          <cell r="L20" t="str">
            <v xml:space="preserve">   Total Operating Revenues</v>
          </cell>
          <cell r="N20">
            <v>3465</v>
          </cell>
          <cell r="P20">
            <v>0</v>
          </cell>
          <cell r="R20">
            <v>0</v>
          </cell>
          <cell r="T20">
            <v>3465</v>
          </cell>
          <cell r="W20" t="str">
            <v xml:space="preserve">   Total Operating Revenues</v>
          </cell>
          <cell r="Y20">
            <v>2726</v>
          </cell>
          <cell r="AA20">
            <v>3465</v>
          </cell>
          <cell r="AB20">
            <v>3</v>
          </cell>
          <cell r="AD20">
            <v>0</v>
          </cell>
          <cell r="AF20">
            <v>-14.047000000000001</v>
          </cell>
          <cell r="AH20">
            <v>6179.9529999999995</v>
          </cell>
        </row>
        <row r="22">
          <cell r="A22" t="str">
            <v>Operating Expenses</v>
          </cell>
          <cell r="K22" t="str">
            <v>Operating Expenses</v>
          </cell>
          <cell r="V22" t="str">
            <v>Operating Expenses</v>
          </cell>
        </row>
        <row r="23">
          <cell r="B23" t="str">
            <v>Fuel and Energy Interchange</v>
          </cell>
          <cell r="D23">
            <v>926</v>
          </cell>
          <cell r="E23">
            <v>6</v>
          </cell>
          <cell r="G23">
            <v>0</v>
          </cell>
          <cell r="I23">
            <v>932</v>
          </cell>
          <cell r="L23" t="str">
            <v>Fuel and Energy Interchange</v>
          </cell>
          <cell r="N23">
            <v>872</v>
          </cell>
          <cell r="P23">
            <v>0</v>
          </cell>
          <cell r="R23">
            <v>0</v>
          </cell>
          <cell r="T23">
            <v>872</v>
          </cell>
          <cell r="W23" t="str">
            <v>Fuel and Energy Interchange</v>
          </cell>
          <cell r="Y23">
            <v>932</v>
          </cell>
          <cell r="AA23">
            <v>872</v>
          </cell>
          <cell r="AF23">
            <v>-14.047000000000001</v>
          </cell>
          <cell r="AH23">
            <v>1789.953</v>
          </cell>
        </row>
        <row r="24">
          <cell r="B24" t="str">
            <v>Operation and Maintenance</v>
          </cell>
          <cell r="D24">
            <v>835</v>
          </cell>
          <cell r="E24">
            <v>10</v>
          </cell>
          <cell r="F24">
            <v>-5</v>
          </cell>
          <cell r="G24">
            <v>0</v>
          </cell>
          <cell r="I24">
            <v>840</v>
          </cell>
          <cell r="L24" t="str">
            <v>Operation and Maintenance</v>
          </cell>
          <cell r="N24">
            <v>1094</v>
          </cell>
          <cell r="P24">
            <v>0</v>
          </cell>
          <cell r="R24">
            <v>0</v>
          </cell>
          <cell r="T24">
            <v>1094</v>
          </cell>
          <cell r="W24" t="str">
            <v>Operation and Maintenance</v>
          </cell>
          <cell r="Y24">
            <v>840</v>
          </cell>
          <cell r="AA24">
            <v>1094</v>
          </cell>
          <cell r="AD24">
            <v>-45</v>
          </cell>
          <cell r="AF24">
            <v>22.9</v>
          </cell>
          <cell r="AH24">
            <v>1911.9</v>
          </cell>
        </row>
        <row r="25">
          <cell r="B25" t="str">
            <v>Depreciation and Amortization</v>
          </cell>
          <cell r="D25">
            <v>160</v>
          </cell>
          <cell r="E25">
            <v>0</v>
          </cell>
          <cell r="F25">
            <v>0</v>
          </cell>
          <cell r="G25">
            <v>0</v>
          </cell>
          <cell r="I25">
            <v>160</v>
          </cell>
          <cell r="L25" t="str">
            <v>Depreciation and Amortization</v>
          </cell>
          <cell r="N25">
            <v>601</v>
          </cell>
          <cell r="P25">
            <v>0</v>
          </cell>
          <cell r="R25">
            <v>0</v>
          </cell>
          <cell r="T25">
            <v>601</v>
          </cell>
          <cell r="W25" t="str">
            <v>Depreciation and Amortization</v>
          </cell>
          <cell r="Y25">
            <v>160</v>
          </cell>
          <cell r="AA25">
            <v>601</v>
          </cell>
          <cell r="AF25">
            <v>-110</v>
          </cell>
          <cell r="AH25">
            <v>651</v>
          </cell>
        </row>
        <row r="26">
          <cell r="B26" t="str">
            <v>Goodwill Amortization</v>
          </cell>
          <cell r="D26">
            <v>1</v>
          </cell>
          <cell r="E26">
            <v>0</v>
          </cell>
          <cell r="F26">
            <v>0</v>
          </cell>
          <cell r="G26">
            <v>0</v>
          </cell>
          <cell r="I26">
            <v>1</v>
          </cell>
          <cell r="L26" t="str">
            <v>Goodwill Amortization</v>
          </cell>
          <cell r="N26">
            <v>1</v>
          </cell>
          <cell r="P26">
            <v>0</v>
          </cell>
          <cell r="R26">
            <v>0</v>
          </cell>
          <cell r="T26">
            <v>1</v>
          </cell>
          <cell r="W26" t="str">
            <v>Goodwill Amortization</v>
          </cell>
          <cell r="Y26">
            <v>1</v>
          </cell>
          <cell r="AA26">
            <v>1</v>
          </cell>
          <cell r="AF26">
            <v>59.862498736856949</v>
          </cell>
          <cell r="AH26">
            <v>61.862498736856949</v>
          </cell>
        </row>
        <row r="27">
          <cell r="B27" t="str">
            <v>Taxes Other Than Income Taxes</v>
          </cell>
          <cell r="D27">
            <v>130</v>
          </cell>
          <cell r="E27">
            <v>0</v>
          </cell>
          <cell r="F27">
            <v>0</v>
          </cell>
          <cell r="G27">
            <v>0</v>
          </cell>
          <cell r="I27">
            <v>130</v>
          </cell>
          <cell r="L27" t="str">
            <v>Taxes Other Than Income Taxes</v>
          </cell>
          <cell r="N27">
            <v>268</v>
          </cell>
          <cell r="P27">
            <v>0</v>
          </cell>
          <cell r="R27">
            <v>0</v>
          </cell>
          <cell r="T27">
            <v>268</v>
          </cell>
          <cell r="W27" t="str">
            <v>Taxes Other Than Income Taxes</v>
          </cell>
          <cell r="Y27">
            <v>130</v>
          </cell>
          <cell r="AA27">
            <v>268</v>
          </cell>
          <cell r="AF27">
            <v>0</v>
          </cell>
          <cell r="AH27">
            <v>398</v>
          </cell>
        </row>
        <row r="28">
          <cell r="B28" t="str">
            <v xml:space="preserve">   Total Operating Expenses</v>
          </cell>
          <cell r="D28">
            <v>2052</v>
          </cell>
          <cell r="E28">
            <v>16</v>
          </cell>
          <cell r="F28">
            <v>-5</v>
          </cell>
          <cell r="G28">
            <v>0</v>
          </cell>
          <cell r="I28">
            <v>2063</v>
          </cell>
          <cell r="L28" t="str">
            <v xml:space="preserve">   Total Operating Expenses</v>
          </cell>
          <cell r="N28">
            <v>2836</v>
          </cell>
          <cell r="P28">
            <v>0</v>
          </cell>
          <cell r="R28">
            <v>0</v>
          </cell>
          <cell r="T28">
            <v>2836</v>
          </cell>
          <cell r="W28" t="str">
            <v xml:space="preserve">   Total Operating Expenses</v>
          </cell>
          <cell r="Y28">
            <v>2063</v>
          </cell>
          <cell r="AA28">
            <v>2836</v>
          </cell>
          <cell r="AB28">
            <v>0</v>
          </cell>
          <cell r="AD28">
            <v>-45</v>
          </cell>
          <cell r="AF28">
            <v>-41.284501263143056</v>
          </cell>
          <cell r="AH28">
            <v>4812.7154987368567</v>
          </cell>
        </row>
        <row r="29">
          <cell r="A29" t="str">
            <v xml:space="preserve">Operating Income </v>
          </cell>
          <cell r="D29">
            <v>664</v>
          </cell>
          <cell r="E29">
            <v>-6</v>
          </cell>
          <cell r="F29">
            <v>5</v>
          </cell>
          <cell r="G29">
            <v>0</v>
          </cell>
          <cell r="I29">
            <v>663</v>
          </cell>
          <cell r="K29" t="str">
            <v xml:space="preserve">Operating Income </v>
          </cell>
          <cell r="N29">
            <v>629</v>
          </cell>
          <cell r="P29">
            <v>0</v>
          </cell>
          <cell r="R29">
            <v>0</v>
          </cell>
          <cell r="T29">
            <v>629</v>
          </cell>
          <cell r="V29" t="str">
            <v xml:space="preserve">Operating Income </v>
          </cell>
          <cell r="Y29">
            <v>663</v>
          </cell>
          <cell r="AA29">
            <v>629</v>
          </cell>
          <cell r="AB29">
            <v>3</v>
          </cell>
          <cell r="AD29">
            <v>45</v>
          </cell>
          <cell r="AF29">
            <v>27.237501263143056</v>
          </cell>
          <cell r="AH29">
            <v>1367.2375012631428</v>
          </cell>
        </row>
        <row r="30">
          <cell r="A30" t="str">
            <v>Other Income and Deductions</v>
          </cell>
          <cell r="K30" t="str">
            <v>Other Income and Deductions</v>
          </cell>
          <cell r="V30" t="str">
            <v>Other Income and Deductions</v>
          </cell>
        </row>
        <row r="31">
          <cell r="B31" t="str">
            <v>Interest Expense</v>
          </cell>
          <cell r="D31">
            <v>-220</v>
          </cell>
          <cell r="G31">
            <v>-11.761926795666664</v>
          </cell>
          <cell r="I31">
            <v>-231.76192679566665</v>
          </cell>
          <cell r="L31" t="str">
            <v>Interest Expense</v>
          </cell>
          <cell r="N31">
            <v>-270</v>
          </cell>
          <cell r="P31">
            <v>0</v>
          </cell>
          <cell r="R31">
            <v>0</v>
          </cell>
          <cell r="T31">
            <v>-270</v>
          </cell>
          <cell r="W31" t="str">
            <v>Interest Expense</v>
          </cell>
          <cell r="Y31">
            <v>-231.76192679566665</v>
          </cell>
          <cell r="AA31">
            <v>-270</v>
          </cell>
          <cell r="AF31">
            <v>-11</v>
          </cell>
          <cell r="AH31">
            <v>-512.76192679566668</v>
          </cell>
        </row>
        <row r="32">
          <cell r="B32" t="str">
            <v>Pref Div</v>
          </cell>
          <cell r="D32">
            <v>-5</v>
          </cell>
          <cell r="E32">
            <v>0</v>
          </cell>
          <cell r="F32">
            <v>0</v>
          </cell>
          <cell r="G32">
            <v>0</v>
          </cell>
          <cell r="I32">
            <v>-5</v>
          </cell>
          <cell r="L32" t="str">
            <v>Pref Div</v>
          </cell>
          <cell r="N32">
            <v>-17</v>
          </cell>
          <cell r="P32">
            <v>0</v>
          </cell>
          <cell r="R32">
            <v>0</v>
          </cell>
          <cell r="T32">
            <v>-17</v>
          </cell>
          <cell r="W32" t="str">
            <v>Pref Div</v>
          </cell>
          <cell r="Y32">
            <v>-5</v>
          </cell>
          <cell r="AA32">
            <v>-17</v>
          </cell>
          <cell r="AF32">
            <v>-5</v>
          </cell>
          <cell r="AH32">
            <v>-27</v>
          </cell>
        </row>
        <row r="33">
          <cell r="B33" t="str">
            <v>Other, net</v>
          </cell>
          <cell r="D33">
            <v>24</v>
          </cell>
          <cell r="E33">
            <v>6</v>
          </cell>
          <cell r="I33">
            <v>30</v>
          </cell>
          <cell r="L33" t="str">
            <v>Other, net</v>
          </cell>
          <cell r="N33">
            <v>103</v>
          </cell>
          <cell r="P33">
            <v>0</v>
          </cell>
          <cell r="R33">
            <v>0</v>
          </cell>
          <cell r="T33">
            <v>103</v>
          </cell>
          <cell r="W33" t="str">
            <v>Other, net</v>
          </cell>
          <cell r="Y33">
            <v>30</v>
          </cell>
          <cell r="AA33">
            <v>103</v>
          </cell>
          <cell r="AB33">
            <v>-3</v>
          </cell>
          <cell r="AF33">
            <v>0</v>
          </cell>
          <cell r="AH33">
            <v>130</v>
          </cell>
        </row>
        <row r="34">
          <cell r="B34" t="str">
            <v xml:space="preserve">   Total Other Income and Deductions</v>
          </cell>
          <cell r="D34">
            <v>-201</v>
          </cell>
          <cell r="E34">
            <v>6</v>
          </cell>
          <cell r="F34">
            <v>0</v>
          </cell>
          <cell r="G34">
            <v>-11.761926795666664</v>
          </cell>
          <cell r="I34">
            <v>-206.76192679566665</v>
          </cell>
          <cell r="L34" t="str">
            <v xml:space="preserve">   Total Other Income and Deductions</v>
          </cell>
          <cell r="N34">
            <v>-184</v>
          </cell>
          <cell r="P34">
            <v>0</v>
          </cell>
          <cell r="R34">
            <v>0</v>
          </cell>
          <cell r="T34">
            <v>-184</v>
          </cell>
          <cell r="W34" t="str">
            <v xml:space="preserve">   Total Other Income and Deductions</v>
          </cell>
          <cell r="Y34">
            <v>-206.76192679566665</v>
          </cell>
          <cell r="AA34">
            <v>-184</v>
          </cell>
          <cell r="AB34">
            <v>-3</v>
          </cell>
          <cell r="AD34">
            <v>0</v>
          </cell>
          <cell r="AF34">
            <v>-16</v>
          </cell>
          <cell r="AH34">
            <v>-409.76192679566668</v>
          </cell>
        </row>
        <row r="36">
          <cell r="A36" t="str">
            <v>Income Before Income Taxes</v>
          </cell>
          <cell r="K36" t="str">
            <v>Income Before Income Taxes</v>
          </cell>
          <cell r="V36" t="str">
            <v>Income Before Income Taxes</v>
          </cell>
        </row>
        <row r="37">
          <cell r="A37" t="str">
            <v>and Extraordinary Item</v>
          </cell>
          <cell r="D37">
            <v>463</v>
          </cell>
          <cell r="E37">
            <v>0</v>
          </cell>
          <cell r="F37">
            <v>5</v>
          </cell>
          <cell r="G37">
            <v>-11.761926795666664</v>
          </cell>
          <cell r="I37">
            <v>456.23807320433332</v>
          </cell>
          <cell r="K37" t="str">
            <v>and Extraordinary Item</v>
          </cell>
          <cell r="N37">
            <v>445</v>
          </cell>
          <cell r="P37">
            <v>0</v>
          </cell>
          <cell r="R37">
            <v>0</v>
          </cell>
          <cell r="T37">
            <v>445</v>
          </cell>
          <cell r="V37" t="str">
            <v>and Extraordinary Item</v>
          </cell>
          <cell r="Y37">
            <v>456.23807320433332</v>
          </cell>
          <cell r="AA37">
            <v>445</v>
          </cell>
          <cell r="AB37">
            <v>0</v>
          </cell>
          <cell r="AD37">
            <v>45</v>
          </cell>
          <cell r="AF37">
            <v>11.237501263143056</v>
          </cell>
          <cell r="AH37">
            <v>957.47557446747612</v>
          </cell>
        </row>
        <row r="38">
          <cell r="A38" t="str">
            <v xml:space="preserve"> </v>
          </cell>
          <cell r="K38" t="str">
            <v xml:space="preserve"> </v>
          </cell>
          <cell r="V38" t="str">
            <v xml:space="preserve"> </v>
          </cell>
        </row>
        <row r="39">
          <cell r="A39" t="str">
            <v xml:space="preserve">Income Tax Expense </v>
          </cell>
          <cell r="D39">
            <v>174</v>
          </cell>
          <cell r="F39">
            <v>2</v>
          </cell>
          <cell r="G39">
            <v>-4.7047707182666656</v>
          </cell>
          <cell r="I39">
            <v>171.29522928173333</v>
          </cell>
          <cell r="K39" t="str">
            <v xml:space="preserve">Income Tax Expense </v>
          </cell>
          <cell r="N39">
            <v>102</v>
          </cell>
          <cell r="P39">
            <v>0</v>
          </cell>
          <cell r="R39">
            <v>0</v>
          </cell>
          <cell r="T39">
            <v>102</v>
          </cell>
          <cell r="V39" t="str">
            <v xml:space="preserve">Income Tax Expense </v>
          </cell>
          <cell r="Y39">
            <v>171.29522928173333</v>
          </cell>
          <cell r="AA39">
            <v>102</v>
          </cell>
          <cell r="AB39">
            <v>0</v>
          </cell>
          <cell r="AD39">
            <v>18</v>
          </cell>
          <cell r="AF39">
            <v>38.095820000000003</v>
          </cell>
          <cell r="AH39">
            <v>329.39104928173333</v>
          </cell>
        </row>
        <row r="40">
          <cell r="A40" t="str">
            <v>Income Before Extraordinary Item</v>
          </cell>
          <cell r="D40">
            <v>289</v>
          </cell>
          <cell r="E40">
            <v>0</v>
          </cell>
          <cell r="F40">
            <v>3</v>
          </cell>
          <cell r="G40">
            <v>-7.0571560773999984</v>
          </cell>
          <cell r="I40">
            <v>284.94284392259999</v>
          </cell>
          <cell r="K40" t="str">
            <v>Income Before Extraordinary Item</v>
          </cell>
          <cell r="N40">
            <v>343</v>
          </cell>
          <cell r="P40">
            <v>0</v>
          </cell>
          <cell r="R40">
            <v>0</v>
          </cell>
          <cell r="T40">
            <v>343</v>
          </cell>
          <cell r="V40" t="str">
            <v>Income Before Extraordinary Item</v>
          </cell>
          <cell r="Y40">
            <v>284.94284392259999</v>
          </cell>
          <cell r="AA40">
            <v>343</v>
          </cell>
          <cell r="AB40">
            <v>0</v>
          </cell>
          <cell r="AD40">
            <v>27</v>
          </cell>
          <cell r="AF40">
            <v>-26.858318736856948</v>
          </cell>
          <cell r="AH40">
            <v>628.08452518574279</v>
          </cell>
        </row>
        <row r="41">
          <cell r="B41" t="str">
            <v>Extraordinary</v>
          </cell>
          <cell r="D41">
            <v>-3</v>
          </cell>
          <cell r="I41">
            <v>-3</v>
          </cell>
          <cell r="W41" t="str">
            <v>PECO Extraordinary</v>
          </cell>
          <cell r="Y41">
            <v>-3</v>
          </cell>
          <cell r="AH41">
            <v>-3</v>
          </cell>
        </row>
        <row r="42">
          <cell r="W42" t="str">
            <v>PECO chg in acct prin ($22 million pre tax)( not needed for proforma purposes)</v>
          </cell>
        </row>
        <row r="43">
          <cell r="L43" t="str">
            <v>Extraordinary</v>
          </cell>
          <cell r="N43">
            <v>-4</v>
          </cell>
          <cell r="W43" t="str">
            <v>ComEd Extraordinary</v>
          </cell>
          <cell r="AA43">
            <v>-4</v>
          </cell>
          <cell r="AH43">
            <v>-4</v>
          </cell>
        </row>
        <row r="44">
          <cell r="W44" t="str">
            <v>Net Income</v>
          </cell>
          <cell r="Y44">
            <v>281.94284392259999</v>
          </cell>
          <cell r="AA44">
            <v>339</v>
          </cell>
          <cell r="AB44">
            <v>0</v>
          </cell>
          <cell r="AD44">
            <v>27</v>
          </cell>
          <cell r="AF44">
            <v>-26.858318736856948</v>
          </cell>
          <cell r="AH44">
            <v>621.08452518574279</v>
          </cell>
        </row>
        <row r="45">
          <cell r="A45" t="str">
            <v>Preferred Stock Dividend</v>
          </cell>
          <cell r="D45">
            <v>5</v>
          </cell>
          <cell r="I45">
            <v>5</v>
          </cell>
          <cell r="V45" t="str">
            <v>Pref Dividend</v>
          </cell>
          <cell r="Y45">
            <v>5</v>
          </cell>
          <cell r="AF45">
            <v>-5</v>
          </cell>
          <cell r="AH45">
            <v>0</v>
          </cell>
        </row>
        <row r="46">
          <cell r="B46" t="str">
            <v>Net Income on Common</v>
          </cell>
          <cell r="D46">
            <v>281</v>
          </cell>
          <cell r="W46" t="str">
            <v>Net Income on Common</v>
          </cell>
          <cell r="Y46">
            <v>276.94284392259999</v>
          </cell>
          <cell r="AA46">
            <v>339</v>
          </cell>
          <cell r="AB46">
            <v>0</v>
          </cell>
          <cell r="AD46">
            <v>27</v>
          </cell>
          <cell r="AF46">
            <v>-21.858318736856948</v>
          </cell>
          <cell r="AH46">
            <v>621.08452518574279</v>
          </cell>
        </row>
        <row r="48">
          <cell r="V48" t="str">
            <v>Income Before Extraordinary</v>
          </cell>
        </row>
        <row r="49">
          <cell r="A49" t="str">
            <v>Income Before Extraordinary</v>
          </cell>
          <cell r="K49" t="str">
            <v>Income Before Extraordinary</v>
          </cell>
          <cell r="T49" t="str">
            <v>info only</v>
          </cell>
          <cell r="V49" t="str">
            <v xml:space="preserve">   Item per Share</v>
          </cell>
          <cell r="AH49">
            <v>1.9469734331841466</v>
          </cell>
        </row>
        <row r="50">
          <cell r="A50" t="str">
            <v xml:space="preserve">   Item per Share</v>
          </cell>
          <cell r="D50" t="e">
            <v>#DIV/0!</v>
          </cell>
          <cell r="K50" t="str">
            <v xml:space="preserve">   Item per Share</v>
          </cell>
          <cell r="N50">
            <v>1.578462954440865</v>
          </cell>
          <cell r="T50">
            <v>1.7929952953476214</v>
          </cell>
        </row>
        <row r="51">
          <cell r="V51" t="str">
            <v>Income Before Extraordinary</v>
          </cell>
        </row>
        <row r="52">
          <cell r="A52" t="str">
            <v>Income Before Extraordinary</v>
          </cell>
          <cell r="K52" t="str">
            <v>Income Before Extraordinary</v>
          </cell>
          <cell r="V52" t="str">
            <v xml:space="preserve">   Item per Share - Diluted</v>
          </cell>
          <cell r="AH52">
            <v>1.9348427575879839</v>
          </cell>
        </row>
        <row r="53">
          <cell r="A53" t="str">
            <v xml:space="preserve">   Item per Share - Diluted</v>
          </cell>
          <cell r="D53" t="e">
            <v>#DIV/0!</v>
          </cell>
          <cell r="K53" t="str">
            <v xml:space="preserve">   Item per Share - Diluted</v>
          </cell>
          <cell r="N53">
            <v>1.5729615702100339</v>
          </cell>
        </row>
        <row r="54">
          <cell r="V54" t="str">
            <v>Average Basic Shares Outstanding</v>
          </cell>
          <cell r="AH54">
            <v>319</v>
          </cell>
        </row>
        <row r="55">
          <cell r="A55" t="str">
            <v>Average Basic Shares Outstanding</v>
          </cell>
          <cell r="K55" t="str">
            <v>Average Basic Shares Outstanding</v>
          </cell>
          <cell r="N55">
            <v>217.3</v>
          </cell>
          <cell r="T55">
            <v>191.3</v>
          </cell>
        </row>
        <row r="56">
          <cell r="V56" t="str">
            <v>Average Diluted Shares Outstanding</v>
          </cell>
          <cell r="AH56">
            <v>321</v>
          </cell>
        </row>
        <row r="57">
          <cell r="A57" t="str">
            <v>Average Diluted Shares Outstanding</v>
          </cell>
          <cell r="K57" t="str">
            <v>Average Diluted Shares Outstanding</v>
          </cell>
          <cell r="N57">
            <v>218.06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row r="1">
          <cell r="I1" t="str">
            <v>Inc/(dec)</v>
          </cell>
          <cell r="J1" t="str">
            <v>Inc/(dec)</v>
          </cell>
          <cell r="L1" t="str">
            <v>Premium/</v>
          </cell>
        </row>
        <row r="2">
          <cell r="C2" t="str">
            <v>Shares</v>
          </cell>
          <cell r="D2" t="str">
            <v>Principal</v>
          </cell>
          <cell r="I2" t="str">
            <v>in Interest</v>
          </cell>
          <cell r="J2" t="str">
            <v>in Div's</v>
          </cell>
          <cell r="L2" t="str">
            <v>Fees</v>
          </cell>
          <cell r="N2" t="str">
            <v>Cash</v>
          </cell>
          <cell r="O2" t="str">
            <v>Interest</v>
          </cell>
        </row>
        <row r="3">
          <cell r="B3" t="str">
            <v>Issue</v>
          </cell>
          <cell r="C3" t="str">
            <v>in millions</v>
          </cell>
          <cell r="D3" t="str">
            <v>in millions</v>
          </cell>
          <cell r="I3" t="str">
            <v>in millions</v>
          </cell>
          <cell r="J3" t="str">
            <v>in millions</v>
          </cell>
          <cell r="L3" t="str">
            <v>in millions</v>
          </cell>
          <cell r="N3" t="str">
            <v>Balance</v>
          </cell>
          <cell r="O3" t="str">
            <v>Income</v>
          </cell>
        </row>
        <row r="4">
          <cell r="B4" t="str">
            <v>Initial Proceeds</v>
          </cell>
          <cell r="D4">
            <v>3400</v>
          </cell>
          <cell r="F4">
            <v>5.5800000000000002E-2</v>
          </cell>
          <cell r="I4">
            <v>189.72</v>
          </cell>
          <cell r="L4">
            <v>-40</v>
          </cell>
          <cell r="N4">
            <v>3360</v>
          </cell>
        </row>
        <row r="5">
          <cell r="I5">
            <v>0</v>
          </cell>
        </row>
        <row r="6">
          <cell r="B6" t="str">
            <v>CP</v>
          </cell>
          <cell r="D6">
            <v>-272</v>
          </cell>
          <cell r="F6">
            <v>5.1999999999999998E-2</v>
          </cell>
          <cell r="I6">
            <v>-14.144</v>
          </cell>
          <cell r="K6" t="str">
            <v>$43 was originally used in the 8-K</v>
          </cell>
          <cell r="N6">
            <v>3088</v>
          </cell>
        </row>
        <row r="7">
          <cell r="A7" t="str">
            <v>6M shares</v>
          </cell>
          <cell r="B7" t="str">
            <v>Common(1)</v>
          </cell>
          <cell r="D7">
            <v>-230</v>
          </cell>
          <cell r="I7">
            <v>0</v>
          </cell>
          <cell r="K7" t="str">
            <v xml:space="preserve">the amount calc's to $66.5.  What </v>
          </cell>
          <cell r="N7">
            <v>2858</v>
          </cell>
        </row>
        <row r="8">
          <cell r="B8" t="str">
            <v>CP</v>
          </cell>
          <cell r="D8">
            <v>-106.4</v>
          </cell>
          <cell r="F8">
            <v>5.6500000000000002E-2</v>
          </cell>
          <cell r="I8">
            <v>-6.0116000000000005</v>
          </cell>
          <cell r="K8" t="str">
            <v>is the difference?</v>
          </cell>
          <cell r="N8">
            <v>2751.6</v>
          </cell>
        </row>
        <row r="9">
          <cell r="B9" t="str">
            <v>CP</v>
          </cell>
          <cell r="D9">
            <v>-47.3</v>
          </cell>
          <cell r="F9">
            <v>6.2199999999999998E-2</v>
          </cell>
          <cell r="I9">
            <v>-2.9420599999999997</v>
          </cell>
          <cell r="N9">
            <v>2704.2999999999997</v>
          </cell>
        </row>
        <row r="10">
          <cell r="B10" t="str">
            <v>Pref</v>
          </cell>
          <cell r="C10">
            <v>11.519894000000001</v>
          </cell>
          <cell r="D10">
            <v>-534.20000000000005</v>
          </cell>
          <cell r="G10">
            <v>5.78</v>
          </cell>
          <cell r="I10">
            <v>0</v>
          </cell>
          <cell r="J10">
            <v>-43</v>
          </cell>
          <cell r="L10">
            <v>-5.9</v>
          </cell>
          <cell r="N10">
            <v>2164.1999999999994</v>
          </cell>
        </row>
        <row r="11">
          <cell r="B11" t="str">
            <v>LTD</v>
          </cell>
          <cell r="D11">
            <v>-730</v>
          </cell>
          <cell r="F11">
            <v>8.2199999999999995E-2</v>
          </cell>
          <cell r="I11">
            <v>-60.005999999999993</v>
          </cell>
          <cell r="L11">
            <v>-18.5</v>
          </cell>
          <cell r="N11">
            <v>1415.6999999999994</v>
          </cell>
        </row>
        <row r="12">
          <cell r="B12" t="str">
            <v>LTD</v>
          </cell>
          <cell r="D12">
            <v>-30.3</v>
          </cell>
          <cell r="F12">
            <v>9.3799999999999994E-2</v>
          </cell>
          <cell r="I12">
            <v>-2.8421400000000001</v>
          </cell>
          <cell r="L12">
            <v>-1.4</v>
          </cell>
          <cell r="N12">
            <v>1383.9999999999993</v>
          </cell>
        </row>
        <row r="13">
          <cell r="A13">
            <v>36187</v>
          </cell>
          <cell r="B13" t="str">
            <v>Common</v>
          </cell>
          <cell r="D13">
            <v>-6.8</v>
          </cell>
          <cell r="I13">
            <v>0</v>
          </cell>
          <cell r="N13">
            <v>1377.1999999999994</v>
          </cell>
        </row>
        <row r="14">
          <cell r="A14" t="str">
            <v>Forward</v>
          </cell>
          <cell r="B14" t="str">
            <v>Common</v>
          </cell>
          <cell r="D14">
            <v>-495</v>
          </cell>
          <cell r="I14">
            <v>0</v>
          </cell>
          <cell r="N14">
            <v>882.19999999999936</v>
          </cell>
        </row>
        <row r="15">
          <cell r="B15" t="str">
            <v>LTD</v>
          </cell>
          <cell r="D15">
            <v>-198.9</v>
          </cell>
          <cell r="F15">
            <v>9.6500000000000002E-2</v>
          </cell>
          <cell r="I15">
            <v>-19.193850000000001</v>
          </cell>
          <cell r="L15">
            <v>-15</v>
          </cell>
          <cell r="N15">
            <v>668.29999999999939</v>
          </cell>
        </row>
        <row r="16">
          <cell r="B16" t="str">
            <v>CP</v>
          </cell>
          <cell r="D16">
            <v>-65</v>
          </cell>
          <cell r="F16">
            <v>6.2E-2</v>
          </cell>
          <cell r="I16">
            <v>-4.03</v>
          </cell>
          <cell r="N16">
            <v>603.29999999999939</v>
          </cell>
        </row>
        <row r="17">
          <cell r="B17" t="str">
            <v>LTD</v>
          </cell>
          <cell r="D17">
            <v>-58</v>
          </cell>
          <cell r="F17">
            <v>7.6300000000000007E-2</v>
          </cell>
          <cell r="I17">
            <v>-4.4254000000000007</v>
          </cell>
          <cell r="L17">
            <v>-0.06</v>
          </cell>
          <cell r="N17">
            <v>545.23999999999944</v>
          </cell>
        </row>
        <row r="18">
          <cell r="B18" t="str">
            <v>CP</v>
          </cell>
          <cell r="D18">
            <v>-9.3000000000000007</v>
          </cell>
          <cell r="F18">
            <v>6.13E-2</v>
          </cell>
          <cell r="I18">
            <v>-0.5700900000000001</v>
          </cell>
          <cell r="N18">
            <v>535.93999999999949</v>
          </cell>
        </row>
        <row r="19">
          <cell r="A19" t="str">
            <v>March</v>
          </cell>
          <cell r="B19" t="str">
            <v>Common</v>
          </cell>
          <cell r="D19">
            <v>-186.90000000000003</v>
          </cell>
          <cell r="I19">
            <v>0</v>
          </cell>
          <cell r="N19">
            <v>349.03999999999945</v>
          </cell>
        </row>
        <row r="20">
          <cell r="B20" t="str">
            <v>LTD</v>
          </cell>
          <cell r="D20">
            <v>-0.1</v>
          </cell>
          <cell r="F20">
            <v>9.4100000000000003E-2</v>
          </cell>
          <cell r="I20">
            <v>-9.4100000000000017E-3</v>
          </cell>
          <cell r="L20">
            <v>-4.0999999999999996</v>
          </cell>
          <cell r="N20">
            <v>344.83999999999941</v>
          </cell>
        </row>
        <row r="21">
          <cell r="B21" t="str">
            <v>Pref</v>
          </cell>
          <cell r="C21">
            <v>3</v>
          </cell>
          <cell r="D21">
            <v>-75</v>
          </cell>
          <cell r="G21">
            <v>2.4300000000000002</v>
          </cell>
          <cell r="I21">
            <v>0</v>
          </cell>
          <cell r="J21">
            <v>-7.2900000000000009</v>
          </cell>
          <cell r="L21">
            <v>-2.2999999999999998</v>
          </cell>
          <cell r="N21">
            <v>267.5399999999994</v>
          </cell>
        </row>
        <row r="22">
          <cell r="N22">
            <v>267.5399999999994</v>
          </cell>
        </row>
        <row r="23">
          <cell r="B23" t="str">
            <v>Seaway Loan</v>
          </cell>
          <cell r="D23">
            <v>-3.6</v>
          </cell>
          <cell r="F23">
            <v>-0.08</v>
          </cell>
          <cell r="I23">
            <v>0.28800000000000003</v>
          </cell>
          <cell r="N23">
            <v>263.93999999999937</v>
          </cell>
        </row>
        <row r="24">
          <cell r="B24" t="str">
            <v>MTN</v>
          </cell>
          <cell r="D24">
            <v>-140</v>
          </cell>
          <cell r="F24">
            <v>9.0423214285714273E-2</v>
          </cell>
          <cell r="I24">
            <v>-12.659249999999998</v>
          </cell>
          <cell r="L24">
            <v>0</v>
          </cell>
          <cell r="N24">
            <v>123.93999999999937</v>
          </cell>
        </row>
        <row r="25">
          <cell r="O25">
            <v>4.4999999999999998E-2</v>
          </cell>
        </row>
        <row r="26">
          <cell r="B26" t="str">
            <v>Balance</v>
          </cell>
          <cell r="D26">
            <v>211.19999999999953</v>
          </cell>
          <cell r="I26">
            <v>63.174200000000013</v>
          </cell>
          <cell r="J26">
            <v>-50.29</v>
          </cell>
          <cell r="L26">
            <v>-87.26</v>
          </cell>
          <cell r="O26">
            <v>5.5772999999999717</v>
          </cell>
        </row>
        <row r="28">
          <cell r="B28" t="str">
            <v>Fees</v>
          </cell>
          <cell r="D28">
            <v>-87.26</v>
          </cell>
        </row>
        <row r="29">
          <cell r="D29">
            <v>123.93999999999953</v>
          </cell>
        </row>
        <row r="31">
          <cell r="B31" t="str">
            <v>Addback items which</v>
          </cell>
        </row>
        <row r="32">
          <cell r="B32" t="str">
            <v xml:space="preserve">have not happen through </v>
          </cell>
        </row>
        <row r="33">
          <cell r="B33" t="str">
            <v>September 30, 1999</v>
          </cell>
        </row>
        <row r="34">
          <cell r="B34" t="str">
            <v>Common(1)</v>
          </cell>
          <cell r="D34">
            <v>230</v>
          </cell>
        </row>
        <row r="35">
          <cell r="B35" t="str">
            <v>MTN</v>
          </cell>
          <cell r="D35">
            <v>140</v>
          </cell>
        </row>
        <row r="36">
          <cell r="D36">
            <v>493.93999999999954</v>
          </cell>
          <cell r="E36" t="str">
            <v>Ana, I believe this should be the $496M we discussed on the phone.</v>
          </cell>
        </row>
        <row r="37">
          <cell r="E37" t="str">
            <v>Do you know what the difference is?</v>
          </cell>
        </row>
        <row r="39">
          <cell r="A39" t="str">
            <v>"(1)  represents estimate of additional shares to be repurchases due to merger other than the $750M.</v>
          </cell>
        </row>
        <row r="43">
          <cell r="A43" t="str">
            <v>PER INFORMATION ABOVE</v>
          </cell>
        </row>
        <row r="44">
          <cell r="A44" t="str">
            <v>Income Statement Impact</v>
          </cell>
          <cell r="D44" t="str">
            <v>Int Exp/Inc</v>
          </cell>
          <cell r="F44" t="str">
            <v>Fees</v>
          </cell>
          <cell r="H44" t="str">
            <v>Total</v>
          </cell>
        </row>
        <row r="45">
          <cell r="A45" t="str">
            <v>Fees and Premiums</v>
          </cell>
          <cell r="F45">
            <v>39.06</v>
          </cell>
          <cell r="H45">
            <v>39.06</v>
          </cell>
        </row>
        <row r="46">
          <cell r="A46" t="str">
            <v>Increased Interest Expense</v>
          </cell>
          <cell r="D46">
            <v>63.174200000000013</v>
          </cell>
          <cell r="H46">
            <v>63.174200000000013</v>
          </cell>
        </row>
        <row r="47">
          <cell r="A47" t="str">
            <v>Increase Interest Income</v>
          </cell>
          <cell r="D47">
            <v>5.5772999999999717</v>
          </cell>
          <cell r="H47">
            <v>5.5772999999999717</v>
          </cell>
        </row>
        <row r="48">
          <cell r="A48" t="str">
            <v>Change to Taxable Income</v>
          </cell>
          <cell r="D48">
            <v>-57.596900000000041</v>
          </cell>
          <cell r="F48">
            <v>-39.06</v>
          </cell>
          <cell r="H48">
            <v>-96.656900000000036</v>
          </cell>
        </row>
        <row r="49">
          <cell r="A49" t="str">
            <v>Change to income taxes(fed)</v>
          </cell>
          <cell r="D49">
            <v>18.742031260000015</v>
          </cell>
          <cell r="E49">
            <v>0.32540000000000002</v>
          </cell>
          <cell r="F49">
            <v>12.710124000000002</v>
          </cell>
          <cell r="H49">
            <v>31.452155260000019</v>
          </cell>
        </row>
        <row r="50">
          <cell r="A50" t="str">
            <v>Change to income taxes(State)</v>
          </cell>
          <cell r="D50">
            <v>4.0433023800000027</v>
          </cell>
          <cell r="E50">
            <v>7.0199999999999999E-2</v>
          </cell>
          <cell r="F50">
            <v>2.7420119999999999</v>
          </cell>
          <cell r="H50">
            <v>6.7853143800000026</v>
          </cell>
        </row>
        <row r="51">
          <cell r="A51" t="str">
            <v>Incr/(decr) to income</v>
          </cell>
          <cell r="D51">
            <v>-34.811566360000029</v>
          </cell>
          <cell r="F51">
            <v>-23.607864000000003</v>
          </cell>
          <cell r="H51">
            <v>-58.419430360000035</v>
          </cell>
        </row>
        <row r="52">
          <cell r="A52" t="str">
            <v>Decrease Pref Div</v>
          </cell>
          <cell r="D52">
            <v>50.29</v>
          </cell>
          <cell r="F52">
            <v>-8.1999999999999993</v>
          </cell>
          <cell r="H52">
            <v>42.09</v>
          </cell>
        </row>
        <row r="53">
          <cell r="A53" t="str">
            <v xml:space="preserve">Incr/(decr) to inc to common </v>
          </cell>
          <cell r="D53">
            <v>15.47843363999997</v>
          </cell>
          <cell r="H53">
            <v>-16.329430360000032</v>
          </cell>
        </row>
        <row r="55">
          <cell r="A55" t="str">
            <v xml:space="preserve">USE FOR PRESENTATION PURPOSES </v>
          </cell>
        </row>
        <row r="56">
          <cell r="A56" t="str">
            <v>Income Statement Impact</v>
          </cell>
          <cell r="D56" t="str">
            <v>Int Exp/Inc</v>
          </cell>
          <cell r="F56" t="str">
            <v>Fees</v>
          </cell>
          <cell r="H56" t="str">
            <v>Total</v>
          </cell>
        </row>
        <row r="57">
          <cell r="A57" t="str">
            <v>Fees and Premiums</v>
          </cell>
          <cell r="F57">
            <v>45.6</v>
          </cell>
          <cell r="G57" t="str">
            <v>(1)</v>
          </cell>
          <cell r="H57">
            <v>45.6</v>
          </cell>
          <cell r="J57" t="str">
            <v>(1)  use per trial balance extraordinary item, for FERc reporting use account 426</v>
          </cell>
        </row>
        <row r="58">
          <cell r="A58" t="str">
            <v>Increased Interest Expense</v>
          </cell>
          <cell r="D58">
            <v>63.174200000000013</v>
          </cell>
          <cell r="H58">
            <v>63.174200000000013</v>
          </cell>
        </row>
        <row r="59">
          <cell r="A59" t="str">
            <v>Increase Interest Income</v>
          </cell>
          <cell r="D59">
            <v>5.5772999999999717</v>
          </cell>
          <cell r="H59">
            <v>5.5772999999999717</v>
          </cell>
          <cell r="J59" t="str">
            <v>Note: the format for FERC Form 1 reporting does not include provision</v>
          </cell>
        </row>
        <row r="60">
          <cell r="A60" t="str">
            <v>Change to Taxable Income</v>
          </cell>
          <cell r="D60">
            <v>-57.596900000000041</v>
          </cell>
          <cell r="F60">
            <v>-45.6</v>
          </cell>
          <cell r="H60">
            <v>-103.19690000000004</v>
          </cell>
          <cell r="J60" t="str">
            <v>for pref dividends.  Any item affecting the provision is not reflected</v>
          </cell>
        </row>
        <row r="61">
          <cell r="A61" t="str">
            <v>Change to income taxes(fed)</v>
          </cell>
          <cell r="D61">
            <v>18.742031260000015</v>
          </cell>
          <cell r="E61">
            <v>0.32540000000000002</v>
          </cell>
          <cell r="F61">
            <v>14.838240000000001</v>
          </cell>
          <cell r="H61">
            <v>33.580271260000018</v>
          </cell>
          <cell r="J61" t="str">
            <v>in the incomestatement for this filing.</v>
          </cell>
        </row>
        <row r="62">
          <cell r="A62" t="str">
            <v>Change to income taxes(State)</v>
          </cell>
          <cell r="D62">
            <v>4.0433023800000027</v>
          </cell>
          <cell r="E62">
            <v>7.0199999999999999E-2</v>
          </cell>
          <cell r="F62">
            <v>3.20112</v>
          </cell>
          <cell r="H62">
            <v>7.2444223800000032</v>
          </cell>
        </row>
        <row r="63">
          <cell r="A63" t="str">
            <v>Incr/(decr) to income</v>
          </cell>
          <cell r="D63">
            <v>-34.811566360000029</v>
          </cell>
          <cell r="F63">
            <v>-27.560640000000003</v>
          </cell>
          <cell r="H63">
            <v>-62.372206360000035</v>
          </cell>
        </row>
        <row r="64">
          <cell r="A64" t="str">
            <v>Decrease Pref Div</v>
          </cell>
          <cell r="D64">
            <v>50.29</v>
          </cell>
          <cell r="F64">
            <v>-12.3</v>
          </cell>
          <cell r="G64" t="str">
            <v>(2)</v>
          </cell>
          <cell r="H64">
            <v>37.989999999999995</v>
          </cell>
          <cell r="J64" t="str">
            <v>(2)  per Trial balance account 216051</v>
          </cell>
        </row>
        <row r="65">
          <cell r="A65" t="str">
            <v xml:space="preserve">Incr/(decr) to inc to common </v>
          </cell>
          <cell r="D65">
            <v>15.47843363999997</v>
          </cell>
          <cell r="H65">
            <v>-24.38220636000004</v>
          </cell>
        </row>
        <row r="68">
          <cell r="D68" t="str">
            <v>Total from above</v>
          </cell>
          <cell r="H68" t="str">
            <v>Actually Used in 1998</v>
          </cell>
          <cell r="L68" t="str">
            <v>Proceeds used after 1998</v>
          </cell>
          <cell r="O68" t="str">
            <v>Use these #'s for presentation purposes</v>
          </cell>
        </row>
        <row r="69">
          <cell r="C69" t="str">
            <v>Principal</v>
          </cell>
          <cell r="D69" t="str">
            <v>Fees</v>
          </cell>
          <cell r="E69" t="str">
            <v>Total</v>
          </cell>
          <cell r="G69" t="str">
            <v>Principal</v>
          </cell>
          <cell r="H69" t="str">
            <v>Fees</v>
          </cell>
          <cell r="I69" t="str">
            <v>Total</v>
          </cell>
          <cell r="K69" t="str">
            <v>Principal</v>
          </cell>
          <cell r="L69" t="str">
            <v>Fees</v>
          </cell>
          <cell r="M69" t="str">
            <v>Total</v>
          </cell>
          <cell r="O69" t="str">
            <v>Principal</v>
          </cell>
          <cell r="Q69" t="str">
            <v>Fees</v>
          </cell>
          <cell r="R69" t="str">
            <v>Total</v>
          </cell>
        </row>
        <row r="70">
          <cell r="A70" t="str">
            <v>CP</v>
          </cell>
          <cell r="C70">
            <v>-500</v>
          </cell>
          <cell r="D70">
            <v>0</v>
          </cell>
          <cell r="E70">
            <v>-500</v>
          </cell>
          <cell r="G70">
            <v>-332</v>
          </cell>
          <cell r="I70">
            <v>-332</v>
          </cell>
          <cell r="K70">
            <v>-168</v>
          </cell>
          <cell r="L70">
            <v>0</v>
          </cell>
          <cell r="M70">
            <v>-168</v>
          </cell>
          <cell r="O70">
            <v>-168</v>
          </cell>
          <cell r="Q70">
            <v>0</v>
          </cell>
          <cell r="R70">
            <v>-168</v>
          </cell>
        </row>
        <row r="71">
          <cell r="A71" t="str">
            <v>Common</v>
          </cell>
          <cell r="C71">
            <v>-918.7</v>
          </cell>
          <cell r="D71">
            <v>0</v>
          </cell>
          <cell r="E71">
            <v>-918.7</v>
          </cell>
          <cell r="G71">
            <v>0</v>
          </cell>
          <cell r="H71">
            <v>0</v>
          </cell>
          <cell r="I71">
            <v>0</v>
          </cell>
          <cell r="K71">
            <v>-918.7</v>
          </cell>
          <cell r="L71">
            <v>0</v>
          </cell>
          <cell r="M71">
            <v>-918.7</v>
          </cell>
          <cell r="O71">
            <v>-1020.973024</v>
          </cell>
          <cell r="P71" t="str">
            <v xml:space="preserve">(3)  </v>
          </cell>
          <cell r="Q71">
            <v>0</v>
          </cell>
          <cell r="R71">
            <v>-1021</v>
          </cell>
        </row>
        <row r="72">
          <cell r="A72" t="str">
            <v>LTD</v>
          </cell>
          <cell r="C72">
            <v>-1160.9000000000001</v>
          </cell>
          <cell r="D72">
            <v>-39.06</v>
          </cell>
          <cell r="E72">
            <v>-1199.96</v>
          </cell>
          <cell r="G72">
            <v>0</v>
          </cell>
          <cell r="I72">
            <v>0</v>
          </cell>
          <cell r="K72">
            <v>-1160.9000000000001</v>
          </cell>
          <cell r="L72">
            <v>-39.06</v>
          </cell>
          <cell r="M72">
            <v>-1199.96</v>
          </cell>
          <cell r="O72">
            <v>-1160.9000000000001</v>
          </cell>
          <cell r="Q72">
            <v>-45.6</v>
          </cell>
          <cell r="R72">
            <v>-1206.5</v>
          </cell>
        </row>
        <row r="73">
          <cell r="A73" t="str">
            <v>Pref</v>
          </cell>
          <cell r="C73">
            <v>-609.20000000000005</v>
          </cell>
          <cell r="D73">
            <v>-8.1999999999999993</v>
          </cell>
          <cell r="E73">
            <v>-617.40000000000009</v>
          </cell>
          <cell r="G73">
            <v>0</v>
          </cell>
          <cell r="H73">
            <v>0</v>
          </cell>
          <cell r="I73">
            <v>0</v>
          </cell>
          <cell r="K73">
            <v>-609.20000000000005</v>
          </cell>
          <cell r="L73">
            <v>-8.1999999999999993</v>
          </cell>
          <cell r="M73">
            <v>-617.40000000000009</v>
          </cell>
          <cell r="O73">
            <v>-609.20000000000005</v>
          </cell>
          <cell r="Q73">
            <v>12.3</v>
          </cell>
          <cell r="R73">
            <v>-596.9</v>
          </cell>
        </row>
        <row r="74">
          <cell r="C74">
            <v>-3188.8</v>
          </cell>
          <cell r="D74">
            <v>-47.260000000000005</v>
          </cell>
          <cell r="E74">
            <v>-3236.06</v>
          </cell>
          <cell r="G74">
            <v>-332</v>
          </cell>
          <cell r="H74">
            <v>0</v>
          </cell>
          <cell r="I74">
            <v>-332</v>
          </cell>
          <cell r="K74">
            <v>-2856.8</v>
          </cell>
          <cell r="L74">
            <v>-47.260000000000005</v>
          </cell>
          <cell r="M74">
            <v>-2904.06</v>
          </cell>
          <cell r="O74">
            <v>-2959.0730240000003</v>
          </cell>
          <cell r="Q74">
            <v>-33.299999999999997</v>
          </cell>
          <cell r="R74">
            <v>-2992.4</v>
          </cell>
        </row>
        <row r="75">
          <cell r="A75" t="str">
            <v>Other uses</v>
          </cell>
        </row>
        <row r="76">
          <cell r="A76" t="str">
            <v>Initail Fees</v>
          </cell>
          <cell r="E76">
            <v>-40</v>
          </cell>
          <cell r="I76">
            <v>-40</v>
          </cell>
          <cell r="M76">
            <v>0</v>
          </cell>
          <cell r="O76">
            <v>0</v>
          </cell>
          <cell r="R76">
            <v>0</v>
          </cell>
        </row>
        <row r="77">
          <cell r="E77">
            <v>-3276.06</v>
          </cell>
          <cell r="I77">
            <v>-372</v>
          </cell>
          <cell r="M77">
            <v>-2904.06</v>
          </cell>
          <cell r="O77">
            <v>-2959.0730240000003</v>
          </cell>
          <cell r="R77">
            <v>-2992.4</v>
          </cell>
        </row>
        <row r="78">
          <cell r="A78" t="str">
            <v>Initail Proceeds</v>
          </cell>
          <cell r="E78">
            <v>3400</v>
          </cell>
        </row>
        <row r="79">
          <cell r="A79" t="str">
            <v>Remaining proceeds</v>
          </cell>
          <cell r="E79">
            <v>123.94000000000005</v>
          </cell>
        </row>
        <row r="81">
          <cell r="O81" t="str">
            <v>(3)    See UCM Share Repurchase tab.    This is</v>
          </cell>
        </row>
        <row r="82">
          <cell r="A82" t="str">
            <v>F:\STAFF\jdm\KMH\Merge\FERC Filing\[FERC stmts2.XLS]TFI use</v>
          </cell>
          <cell r="O82" t="str">
            <v xml:space="preserve">         the same amount that was use in the 8-K </v>
          </cell>
        </row>
        <row r="83">
          <cell r="O83" t="str">
            <v xml:space="preserve">          filing for the merger.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_Req"/>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printerSettings" Target="../printerSettings/printerSettings2.bin"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1.xml.rels>&#65279;<?xml version="1.0" encoding="UTF-8" standalone="yes"?>
<Relationships xmlns="http://schemas.openxmlformats.org/package/2006/relationships">
  <Relationship Id="rId2" Type="http://schemas.openxmlformats.org/officeDocument/2006/relationships/printerSettings" Target="../printerSettings/printerSettings15.bin" />
  <Relationship Id="rId1" Type="http://schemas.openxmlformats.org/officeDocument/2006/relationships/printerSettings" Target="../printerSettings/printerSettings14.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4.xml.rels>&#65279;<?xml version="1.0" encoding="UTF-8" standalone="yes"?>
<Relationships xmlns="http://schemas.openxmlformats.org/package/2006/relationships">
  <Relationship Id="rId2" Type="http://schemas.openxmlformats.org/officeDocument/2006/relationships/printerSettings" Target="../printerSettings/printerSettings19.bin" />
  <Relationship Id="rId1" Type="http://schemas.openxmlformats.org/officeDocument/2006/relationships/printerSettings" Target="../printerSettings/printerSettings18.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xml.rels>&#65279;<?xml version="1.0" encoding="UTF-8" standalone="yes"?>
<Relationships xmlns="http://schemas.openxmlformats.org/package/2006/relationships">
  <Relationship Id="rId2" Type="http://schemas.openxmlformats.org/officeDocument/2006/relationships/printerSettings" Target="../printerSettings/printerSettings4.bin" />
  <Relationship Id="rId1" Type="http://schemas.openxmlformats.org/officeDocument/2006/relationships/printerSettings" Target="../printerSettings/printerSettings3.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5.xml.rels>&#65279;<?xml version="1.0" encoding="UTF-8" standalone="yes"?>
<Relationships xmlns="http://schemas.openxmlformats.org/package/2006/relationships">
  <Relationship Id="rId2" Type="http://schemas.openxmlformats.org/officeDocument/2006/relationships/printerSettings" Target="../printerSettings/printerSettings8.bin" />
  <Relationship Id="rId1" Type="http://schemas.openxmlformats.org/officeDocument/2006/relationships/printerSettings" Target="../printerSettings/printerSettings7.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8"/>
  <sheetViews>
    <sheetView topLeftCell="A218" zoomScale="70" zoomScaleNormal="70" zoomScaleSheetLayoutView="80" workbookViewId="0">
      <selection activeCell="D227" sqref="D227"/>
    </sheetView>
  </sheetViews>
  <sheetFormatPr defaultColWidth="8.88671875" defaultRowHeight="12.75"/>
  <cols>
    <col min="1" max="1" width="5.77734375" style="116" customWidth="1"/>
    <col min="2" max="2" width="56" style="116" customWidth="1"/>
    <col min="3" max="3" width="47.44140625" style="116" bestFit="1" customWidth="1"/>
    <col min="4" max="4" width="16.33203125" style="116" customWidth="1"/>
    <col min="5" max="5" width="5.77734375" style="116" customWidth="1"/>
    <col min="6" max="6" width="7.33203125" style="116" customWidth="1"/>
    <col min="7" max="7" width="16.77734375" style="116" customWidth="1"/>
    <col min="8" max="8" width="4.88671875" style="116" customWidth="1"/>
    <col min="9" max="9" width="16.33203125" style="116" customWidth="1"/>
    <col min="10" max="10" width="2.6640625" style="116" customWidth="1"/>
    <col min="11" max="11" width="11.44140625" style="116" customWidth="1"/>
    <col min="12" max="12" width="14.44140625" style="116" bestFit="1" customWidth="1"/>
    <col min="13" max="13" width="14.6640625" style="116" bestFit="1" customWidth="1"/>
    <col min="14" max="16384" width="8.88671875" style="116"/>
  </cols>
  <sheetData>
    <row r="1" spans="1:13">
      <c r="A1" s="18"/>
      <c r="B1" s="18"/>
      <c r="C1" s="800"/>
      <c r="D1" s="18"/>
      <c r="E1" s="18"/>
      <c r="F1" s="18"/>
      <c r="G1" s="18"/>
      <c r="H1" s="18"/>
      <c r="I1" s="18"/>
      <c r="J1" s="18"/>
      <c r="K1" s="382" t="s">
        <v>108</v>
      </c>
    </row>
    <row r="2" spans="1:13">
      <c r="A2" s="18"/>
      <c r="B2" s="18" t="s">
        <v>955</v>
      </c>
      <c r="C2" s="18"/>
      <c r="D2" s="18"/>
      <c r="E2" s="18"/>
      <c r="F2" s="18"/>
      <c r="G2" s="18"/>
      <c r="H2" s="18"/>
      <c r="I2" s="18"/>
      <c r="J2" s="18"/>
      <c r="K2" s="18"/>
    </row>
    <row r="3" spans="1:13">
      <c r="A3" s="7"/>
      <c r="B3" s="82" t="s">
        <v>1</v>
      </c>
      <c r="C3" s="383"/>
      <c r="D3" s="195" t="s">
        <v>77</v>
      </c>
      <c r="E3" s="82"/>
      <c r="F3" s="82"/>
      <c r="G3" s="82"/>
      <c r="H3" s="222"/>
      <c r="I3" s="18"/>
      <c r="J3" s="83"/>
      <c r="K3" s="849" t="s">
        <v>962</v>
      </c>
    </row>
    <row r="4" spans="1:13">
      <c r="A4" s="7"/>
      <c r="C4" s="8"/>
      <c r="D4" s="104" t="s">
        <v>104</v>
      </c>
      <c r="E4" s="8"/>
      <c r="F4" s="8"/>
      <c r="G4" s="8"/>
      <c r="H4" s="222"/>
      <c r="I4" s="222"/>
      <c r="J4" s="83"/>
      <c r="K4" s="83"/>
    </row>
    <row r="5" spans="1:13" ht="15.75">
      <c r="A5" s="7"/>
      <c r="B5" s="384"/>
      <c r="C5" s="83"/>
      <c r="D5" s="594" t="s">
        <v>721</v>
      </c>
      <c r="E5" s="83"/>
      <c r="F5" s="83"/>
      <c r="G5" s="83"/>
      <c r="H5" s="83"/>
      <c r="I5" s="83"/>
      <c r="J5" s="83"/>
      <c r="K5" s="83"/>
    </row>
    <row r="6" spans="1:13" ht="13.5">
      <c r="B6" s="384"/>
      <c r="J6" s="106"/>
      <c r="K6" s="106"/>
    </row>
    <row r="7" spans="1:13">
      <c r="A7" s="195"/>
      <c r="C7" s="83"/>
      <c r="D7" s="107"/>
      <c r="E7" s="83"/>
      <c r="F7" s="83"/>
      <c r="G7" s="83"/>
      <c r="H7" s="83"/>
      <c r="I7" s="374"/>
      <c r="J7" s="83"/>
      <c r="K7" s="83"/>
    </row>
    <row r="8" spans="1:13">
      <c r="A8" s="195"/>
      <c r="B8" s="225" t="s">
        <v>3</v>
      </c>
      <c r="C8" s="225" t="s">
        <v>4</v>
      </c>
      <c r="D8" s="225" t="s">
        <v>5</v>
      </c>
      <c r="E8" s="8" t="s">
        <v>2</v>
      </c>
      <c r="F8" s="8"/>
      <c r="G8" s="107" t="s">
        <v>6</v>
      </c>
      <c r="H8" s="8"/>
      <c r="I8" s="110" t="s">
        <v>7</v>
      </c>
      <c r="J8" s="83"/>
      <c r="K8" s="83"/>
    </row>
    <row r="9" spans="1:13">
      <c r="A9" s="195" t="s">
        <v>8</v>
      </c>
      <c r="B9" s="83"/>
      <c r="C9" s="83"/>
      <c r="D9" s="105"/>
      <c r="E9" s="83"/>
      <c r="F9" s="83"/>
      <c r="G9" s="83"/>
      <c r="H9" s="83"/>
      <c r="I9" s="385" t="s">
        <v>9</v>
      </c>
      <c r="J9" s="83"/>
      <c r="K9" s="83"/>
    </row>
    <row r="10" spans="1:13" ht="13.5" thickBot="1">
      <c r="A10" s="379" t="s">
        <v>10</v>
      </c>
      <c r="B10" s="83"/>
      <c r="C10" s="83"/>
      <c r="D10" s="83"/>
      <c r="E10" s="83"/>
      <c r="F10" s="83"/>
      <c r="G10" s="83"/>
      <c r="H10" s="83"/>
      <c r="I10" s="386" t="s">
        <v>11</v>
      </c>
      <c r="J10" s="83"/>
      <c r="K10" s="83"/>
    </row>
    <row r="11" spans="1:13">
      <c r="A11" s="195">
        <v>1</v>
      </c>
      <c r="B11" s="83" t="s">
        <v>226</v>
      </c>
      <c r="C11" s="83" t="str">
        <f>"(page 3, line "&amp;A164&amp;")"</f>
        <v>(page 3, line 48)</v>
      </c>
      <c r="D11" s="387"/>
      <c r="E11" s="83"/>
      <c r="F11" s="83"/>
      <c r="G11" s="83"/>
      <c r="H11" s="83"/>
      <c r="I11" s="374">
        <f>+I164</f>
        <v>210926054.70407829</v>
      </c>
      <c r="J11" s="83"/>
      <c r="K11" s="868"/>
    </row>
    <row r="12" spans="1:13">
      <c r="A12" s="195"/>
      <c r="B12" s="83"/>
      <c r="C12" s="83"/>
      <c r="D12" s="83"/>
      <c r="E12" s="83"/>
      <c r="F12" s="83"/>
      <c r="G12" s="83"/>
      <c r="H12" s="83"/>
      <c r="I12" s="374"/>
      <c r="J12" s="83"/>
      <c r="K12" s="374"/>
    </row>
    <row r="13" spans="1:13" ht="13.5" thickBot="1">
      <c r="A13" s="195" t="s">
        <v>2</v>
      </c>
      <c r="C13" s="8"/>
      <c r="D13" s="379" t="s">
        <v>13</v>
      </c>
      <c r="E13" s="8"/>
      <c r="F13" s="388" t="s">
        <v>14</v>
      </c>
      <c r="G13" s="388"/>
      <c r="H13" s="83"/>
      <c r="I13" s="374"/>
      <c r="J13" s="83"/>
      <c r="K13" s="374"/>
    </row>
    <row r="14" spans="1:13">
      <c r="A14" s="195">
        <f>+A11+1</f>
        <v>2</v>
      </c>
      <c r="B14" s="9" t="s">
        <v>12</v>
      </c>
      <c r="C14" s="8" t="str">
        <f>"Attachment 5A, line "&amp;'5A - Revenue Credits'!A24</f>
        <v>Attachment 5A, line 15</v>
      </c>
      <c r="D14" s="84">
        <f>+'5A - Revenue Credits'!D24</f>
        <v>8882124.8739146478</v>
      </c>
      <c r="E14" s="8"/>
      <c r="F14" s="8" t="s">
        <v>15</v>
      </c>
      <c r="G14" s="230">
        <f>I183</f>
        <v>1</v>
      </c>
      <c r="H14" s="97"/>
      <c r="I14" s="96">
        <f>+'5A - Revenue Credits'!D24</f>
        <v>8882124.8739146478</v>
      </c>
      <c r="J14" s="83"/>
      <c r="K14" s="374"/>
    </row>
    <row r="15" spans="1:13" ht="13.5" thickBot="1">
      <c r="A15" s="195"/>
      <c r="B15" s="85"/>
      <c r="C15" s="389"/>
      <c r="D15" s="96"/>
      <c r="E15" s="8"/>
      <c r="F15" s="8"/>
      <c r="G15" s="84"/>
      <c r="H15" s="97"/>
      <c r="I15" s="99"/>
      <c r="J15" s="83"/>
      <c r="K15" s="374"/>
    </row>
    <row r="16" spans="1:13" ht="13.5" thickBot="1">
      <c r="A16" s="195">
        <f>+A14+1</f>
        <v>3</v>
      </c>
      <c r="B16" s="9" t="s">
        <v>16</v>
      </c>
      <c r="C16" s="83" t="s">
        <v>681</v>
      </c>
      <c r="D16" s="390" t="s">
        <v>2</v>
      </c>
      <c r="E16" s="8"/>
      <c r="F16" s="8"/>
      <c r="G16" s="8"/>
      <c r="H16" s="8"/>
      <c r="I16" s="391">
        <f>+I11-I14</f>
        <v>202043929.83016363</v>
      </c>
      <c r="J16" s="83"/>
      <c r="K16" s="767"/>
      <c r="M16" s="392"/>
    </row>
    <row r="17" spans="1:13" ht="13.5" thickTop="1">
      <c r="A17" s="195"/>
      <c r="B17" s="7"/>
      <c r="C17" s="83"/>
      <c r="D17" s="390"/>
      <c r="E17" s="8"/>
      <c r="F17" s="8"/>
      <c r="G17" s="8"/>
      <c r="H17" s="8"/>
      <c r="I17" s="96"/>
      <c r="J17" s="83"/>
      <c r="K17" s="83"/>
      <c r="M17" s="393"/>
    </row>
    <row r="18" spans="1:13">
      <c r="A18" s="195">
        <f>+A16+1</f>
        <v>4</v>
      </c>
      <c r="B18" s="7" t="s">
        <v>488</v>
      </c>
      <c r="C18" s="394" t="s">
        <v>1066</v>
      </c>
      <c r="D18" s="395"/>
      <c r="E18" s="396"/>
      <c r="F18" s="396"/>
      <c r="G18" s="396"/>
      <c r="H18" s="396"/>
      <c r="I18" s="220">
        <f>+'1-Project Rev Req'!Q95-'1-Project Rev Req'!Q66</f>
        <v>35718410.59839052</v>
      </c>
      <c r="J18" s="86"/>
      <c r="K18" s="86"/>
      <c r="M18" s="393"/>
    </row>
    <row r="19" spans="1:13">
      <c r="A19" s="195">
        <f>+A18+1</f>
        <v>5</v>
      </c>
      <c r="B19" s="98" t="s">
        <v>490</v>
      </c>
      <c r="C19" s="394" t="s">
        <v>1067</v>
      </c>
      <c r="D19" s="395"/>
      <c r="E19" s="396"/>
      <c r="F19" s="396"/>
      <c r="G19" s="396"/>
      <c r="H19" s="396"/>
      <c r="I19" s="220">
        <f>+'1-Project Rev Req'!R95-'1-Project Rev Req'!R66</f>
        <v>0</v>
      </c>
      <c r="J19" s="86"/>
      <c r="K19" s="86"/>
      <c r="M19" s="393"/>
    </row>
    <row r="20" spans="1:13">
      <c r="A20" s="195">
        <f>+A19+1</f>
        <v>6</v>
      </c>
      <c r="B20" s="7" t="s">
        <v>491</v>
      </c>
      <c r="C20" s="394" t="s">
        <v>1068</v>
      </c>
      <c r="D20" s="395"/>
      <c r="E20" s="396"/>
      <c r="F20" s="396"/>
      <c r="G20" s="396"/>
      <c r="H20" s="396"/>
      <c r="I20" s="220">
        <f>+'1-Project Rev Req'!S95-'1-Project Rev Req'!S66</f>
        <v>35718410.59839052</v>
      </c>
      <c r="J20" s="86"/>
      <c r="K20" s="86"/>
      <c r="M20" s="393"/>
    </row>
    <row r="21" spans="1:13">
      <c r="A21" s="397"/>
      <c r="C21" s="241"/>
      <c r="D21" s="15"/>
      <c r="E21" s="394"/>
      <c r="F21" s="398"/>
      <c r="G21" s="399"/>
      <c r="H21" s="394"/>
      <c r="I21" s="220"/>
      <c r="J21" s="181"/>
      <c r="K21" s="86"/>
    </row>
    <row r="22" spans="1:13">
      <c r="A22" s="397">
        <f>+A20+1</f>
        <v>7</v>
      </c>
      <c r="B22" s="7" t="s">
        <v>489</v>
      </c>
      <c r="C22" s="394" t="s">
        <v>1141</v>
      </c>
      <c r="D22" s="94"/>
      <c r="E22" s="94"/>
      <c r="F22" s="94"/>
      <c r="G22" s="94"/>
      <c r="H22" s="94"/>
      <c r="I22" s="220">
        <f>+'1-Project Rev Req'!Q66-I14</f>
        <v>166325519.23177302</v>
      </c>
      <c r="J22" s="181"/>
      <c r="K22" s="339"/>
    </row>
    <row r="23" spans="1:13">
      <c r="A23" s="397">
        <f>+A22+1</f>
        <v>8</v>
      </c>
      <c r="B23" s="98" t="s">
        <v>493</v>
      </c>
      <c r="C23" s="394" t="s">
        <v>834</v>
      </c>
      <c r="D23" s="94"/>
      <c r="E23" s="93"/>
      <c r="F23" s="93"/>
      <c r="G23" s="93"/>
      <c r="H23" s="93"/>
      <c r="I23" s="400">
        <f>+'1-Project Rev Req'!R66</f>
        <v>0</v>
      </c>
      <c r="J23" s="181"/>
      <c r="K23" s="86"/>
    </row>
    <row r="24" spans="1:13">
      <c r="A24" s="397">
        <f>+A23+1</f>
        <v>9</v>
      </c>
      <c r="B24" s="7" t="s">
        <v>492</v>
      </c>
      <c r="C24" s="394" t="s">
        <v>835</v>
      </c>
      <c r="D24" s="86"/>
      <c r="E24" s="86"/>
      <c r="F24" s="88"/>
      <c r="G24" s="89"/>
      <c r="H24" s="86"/>
      <c r="I24" s="192">
        <f>+I22+I23</f>
        <v>166325519.23177302</v>
      </c>
      <c r="J24" s="86"/>
      <c r="K24" s="339"/>
    </row>
    <row r="25" spans="1:13">
      <c r="A25" s="87"/>
      <c r="B25" s="90"/>
      <c r="C25" s="86"/>
      <c r="D25" s="86"/>
      <c r="E25" s="86"/>
      <c r="F25" s="88"/>
      <c r="G25" s="89"/>
      <c r="H25" s="86"/>
      <c r="I25" s="85"/>
      <c r="J25" s="86"/>
      <c r="K25" s="86"/>
    </row>
    <row r="26" spans="1:13">
      <c r="A26" s="87">
        <v>10</v>
      </c>
      <c r="B26" s="85" t="s">
        <v>698</v>
      </c>
      <c r="C26" s="86" t="s">
        <v>836</v>
      </c>
      <c r="D26" s="86"/>
      <c r="E26" s="86"/>
      <c r="F26" s="86"/>
      <c r="G26" s="89"/>
      <c r="H26" s="86"/>
      <c r="I26" s="192">
        <f>+'1-Project Rev Req'!P95</f>
        <v>0</v>
      </c>
      <c r="J26" s="86"/>
      <c r="K26" s="86"/>
    </row>
    <row r="27" spans="1:13">
      <c r="A27" s="87"/>
      <c r="B27" s="85"/>
      <c r="C27" s="86"/>
      <c r="D27" s="86"/>
      <c r="E27" s="86"/>
      <c r="F27" s="86"/>
      <c r="G27" s="89"/>
      <c r="H27" s="86"/>
      <c r="I27" s="85"/>
      <c r="J27" s="86"/>
      <c r="K27" s="86"/>
    </row>
    <row r="28" spans="1:13">
      <c r="A28" s="87">
        <v>11</v>
      </c>
      <c r="B28" s="90" t="s">
        <v>1145</v>
      </c>
      <c r="C28" s="86" t="s">
        <v>1146</v>
      </c>
      <c r="D28" s="91"/>
      <c r="E28" s="91"/>
      <c r="F28" s="91"/>
      <c r="G28" s="91"/>
      <c r="H28" s="91"/>
      <c r="I28" s="950">
        <v>8141.0780000000004</v>
      </c>
      <c r="J28" s="91"/>
      <c r="K28" s="86"/>
    </row>
    <row r="29" spans="1:13">
      <c r="A29" s="195"/>
      <c r="B29" s="9"/>
      <c r="C29" s="83"/>
      <c r="D29" s="92"/>
      <c r="E29" s="92"/>
      <c r="F29" s="92"/>
      <c r="G29" s="92"/>
      <c r="H29" s="92"/>
      <c r="I29" s="92"/>
      <c r="J29" s="92"/>
      <c r="K29" s="83"/>
    </row>
    <row r="30" spans="1:13">
      <c r="A30" s="195">
        <v>12</v>
      </c>
      <c r="B30" s="9" t="s">
        <v>1147</v>
      </c>
      <c r="C30" s="83" t="s">
        <v>1148</v>
      </c>
      <c r="D30" s="92"/>
      <c r="E30" s="92"/>
      <c r="F30" s="92"/>
      <c r="G30" s="92"/>
      <c r="H30" s="92"/>
      <c r="I30" s="442">
        <f>+I24/I28</f>
        <v>20430.404822527558</v>
      </c>
      <c r="J30" s="92"/>
      <c r="K30" s="83"/>
    </row>
    <row r="31" spans="1:13">
      <c r="A31" s="195"/>
      <c r="B31" s="9"/>
      <c r="C31" s="83"/>
      <c r="D31" s="948"/>
      <c r="E31" s="92"/>
      <c r="F31" s="92"/>
      <c r="G31" s="92"/>
      <c r="H31" s="92"/>
      <c r="I31" s="92"/>
      <c r="J31" s="92"/>
      <c r="K31" s="83"/>
    </row>
    <row r="32" spans="1:13">
      <c r="A32" s="195"/>
      <c r="B32" s="9"/>
      <c r="C32" s="83"/>
      <c r="D32" s="92"/>
      <c r="E32" s="92"/>
      <c r="F32" s="92"/>
      <c r="G32" s="92"/>
      <c r="H32" s="92"/>
      <c r="I32" s="92"/>
      <c r="J32" s="92"/>
      <c r="K32" s="83"/>
    </row>
    <row r="33" spans="1:11">
      <c r="A33" s="195"/>
      <c r="B33" s="9"/>
      <c r="C33" s="83"/>
      <c r="D33" s="92"/>
      <c r="E33" s="92"/>
      <c r="F33" s="92"/>
      <c r="G33" s="92"/>
      <c r="H33" s="92"/>
      <c r="I33" s="92"/>
      <c r="J33" s="92"/>
      <c r="K33" s="83"/>
    </row>
    <row r="34" spans="1:11">
      <c r="A34" s="195"/>
      <c r="B34" s="9"/>
      <c r="C34" s="83"/>
      <c r="D34" s="92"/>
      <c r="E34" s="92"/>
      <c r="F34" s="92"/>
      <c r="G34" s="92"/>
      <c r="H34" s="92"/>
      <c r="I34" s="92"/>
      <c r="J34" s="92"/>
      <c r="K34" s="83"/>
    </row>
    <row r="35" spans="1:11">
      <c r="A35" s="7"/>
      <c r="B35" s="9"/>
      <c r="C35" s="83"/>
      <c r="D35" s="83"/>
      <c r="E35" s="83"/>
      <c r="F35" s="83"/>
      <c r="G35" s="83"/>
      <c r="H35" s="83"/>
      <c r="I35" s="401"/>
      <c r="J35" s="83"/>
      <c r="K35" s="402" t="s">
        <v>111</v>
      </c>
    </row>
    <row r="36" spans="1:11">
      <c r="A36" s="7"/>
      <c r="B36" s="83"/>
      <c r="C36" s="83"/>
      <c r="D36" s="83"/>
      <c r="E36" s="83"/>
      <c r="F36" s="83"/>
      <c r="G36" s="83"/>
      <c r="H36" s="83"/>
      <c r="I36" s="83"/>
      <c r="J36" s="83"/>
      <c r="K36" s="83"/>
    </row>
    <row r="37" spans="1:11">
      <c r="A37" s="7"/>
      <c r="B37" s="9" t="s">
        <v>1</v>
      </c>
      <c r="C37" s="9"/>
      <c r="D37" s="225" t="s">
        <v>77</v>
      </c>
      <c r="E37" s="9"/>
      <c r="F37" s="9"/>
      <c r="G37" s="9"/>
      <c r="H37" s="9"/>
      <c r="I37" s="18"/>
      <c r="J37" s="9"/>
      <c r="K37" s="402" t="str">
        <f>K3</f>
        <v>For  the 12 months ended 12/31/2017</v>
      </c>
    </row>
    <row r="38" spans="1:11">
      <c r="A38" s="7"/>
      <c r="B38" s="9"/>
      <c r="C38" s="8"/>
      <c r="D38" s="104" t="s">
        <v>104</v>
      </c>
      <c r="E38" s="8"/>
      <c r="F38" s="8"/>
      <c r="G38" s="8"/>
      <c r="H38" s="8"/>
      <c r="I38" s="8"/>
      <c r="J38" s="8"/>
      <c r="K38" s="8"/>
    </row>
    <row r="39" spans="1:11">
      <c r="A39" s="7"/>
      <c r="B39" s="9"/>
      <c r="C39" s="8"/>
      <c r="D39" s="104" t="str">
        <f>+D5</f>
        <v>PECO Energy Company</v>
      </c>
      <c r="E39" s="8"/>
      <c r="F39" s="8"/>
      <c r="G39" s="8" t="s">
        <v>2</v>
      </c>
      <c r="H39" s="8"/>
      <c r="I39" s="8"/>
      <c r="J39" s="8"/>
      <c r="K39" s="8"/>
    </row>
    <row r="40" spans="1:11">
      <c r="A40" s="973"/>
      <c r="B40" s="973"/>
      <c r="C40" s="973"/>
      <c r="D40" s="973"/>
      <c r="E40" s="973"/>
      <c r="F40" s="973"/>
      <c r="G40" s="973"/>
      <c r="H40" s="973"/>
      <c r="I40" s="973"/>
      <c r="J40" s="973"/>
      <c r="K40" s="973"/>
    </row>
    <row r="41" spans="1:11">
      <c r="A41" s="7"/>
      <c r="B41" s="225" t="s">
        <v>3</v>
      </c>
      <c r="C41" s="225" t="s">
        <v>4</v>
      </c>
      <c r="D41" s="225" t="s">
        <v>5</v>
      </c>
      <c r="E41" s="8" t="s">
        <v>2</v>
      </c>
      <c r="F41" s="8"/>
      <c r="G41" s="107" t="s">
        <v>6</v>
      </c>
      <c r="H41" s="8"/>
      <c r="I41" s="107" t="s">
        <v>7</v>
      </c>
      <c r="J41" s="8"/>
      <c r="K41" s="225"/>
    </row>
    <row r="42" spans="1:11">
      <c r="A42" s="7"/>
      <c r="B42" s="9"/>
      <c r="C42" s="403"/>
      <c r="D42" s="8"/>
      <c r="E42" s="8"/>
      <c r="F42" s="8"/>
      <c r="G42" s="195"/>
      <c r="H42" s="8"/>
      <c r="I42" s="404" t="s">
        <v>17</v>
      </c>
      <c r="J42" s="8"/>
      <c r="K42" s="225"/>
    </row>
    <row r="43" spans="1:11">
      <c r="A43" s="195" t="s">
        <v>8</v>
      </c>
      <c r="B43" s="9"/>
      <c r="C43" s="405" t="s">
        <v>218</v>
      </c>
      <c r="D43" s="404" t="s">
        <v>19</v>
      </c>
      <c r="E43" s="406"/>
      <c r="F43" s="404" t="s">
        <v>20</v>
      </c>
      <c r="G43" s="7"/>
      <c r="H43" s="406"/>
      <c r="I43" s="195" t="s">
        <v>21</v>
      </c>
      <c r="J43" s="8"/>
      <c r="K43" s="225"/>
    </row>
    <row r="44" spans="1:11" ht="13.5" thickBot="1">
      <c r="A44" s="379" t="s">
        <v>10</v>
      </c>
      <c r="B44" s="407" t="s">
        <v>337</v>
      </c>
      <c r="C44" s="8"/>
      <c r="D44" s="8"/>
      <c r="E44" s="8"/>
      <c r="F44" s="8"/>
      <c r="G44" s="8"/>
      <c r="H44" s="8"/>
      <c r="I44" s="8"/>
      <c r="J44" s="8"/>
      <c r="K44" s="8"/>
    </row>
    <row r="45" spans="1:11">
      <c r="A45" s="195"/>
      <c r="B45" s="9" t="s">
        <v>390</v>
      </c>
      <c r="C45" s="8"/>
      <c r="D45" s="8"/>
      <c r="E45" s="8"/>
      <c r="F45" s="8"/>
      <c r="G45" s="8"/>
      <c r="H45" s="8"/>
      <c r="I45" s="8"/>
      <c r="J45" s="8"/>
      <c r="K45" s="8"/>
    </row>
    <row r="46" spans="1:11">
      <c r="A46" s="195">
        <v>1</v>
      </c>
      <c r="B46" s="9" t="s">
        <v>279</v>
      </c>
      <c r="C46" s="97" t="s">
        <v>471</v>
      </c>
      <c r="D46" s="569">
        <v>0</v>
      </c>
      <c r="E46" s="8"/>
      <c r="F46" s="8" t="s">
        <v>22</v>
      </c>
      <c r="G46" s="408" t="s">
        <v>2</v>
      </c>
      <c r="H46" s="8"/>
      <c r="I46" s="96">
        <v>0</v>
      </c>
      <c r="J46" s="8"/>
      <c r="K46" s="8"/>
    </row>
    <row r="47" spans="1:11">
      <c r="A47" s="195">
        <f t="shared" ref="A47:A53" si="0">+A46+1</f>
        <v>2</v>
      </c>
      <c r="B47" s="9" t="s">
        <v>23</v>
      </c>
      <c r="C47" s="97" t="s">
        <v>281</v>
      </c>
      <c r="D47" s="96">
        <f>'4- Rate Base'!C24</f>
        <v>1492071224.8461537</v>
      </c>
      <c r="E47" s="8"/>
      <c r="F47" s="8" t="s">
        <v>15</v>
      </c>
      <c r="G47" s="230">
        <f>I183</f>
        <v>1</v>
      </c>
      <c r="H47" s="97"/>
      <c r="I47" s="96">
        <f>+G47*D47</f>
        <v>1492071224.8461537</v>
      </c>
      <c r="J47" s="8"/>
      <c r="K47" s="8"/>
    </row>
    <row r="48" spans="1:11">
      <c r="A48" s="195">
        <f t="shared" si="0"/>
        <v>3</v>
      </c>
      <c r="B48" s="9" t="s">
        <v>280</v>
      </c>
      <c r="C48" s="97" t="s">
        <v>283</v>
      </c>
      <c r="D48" s="569">
        <v>5872659199.8461542</v>
      </c>
      <c r="E48" s="8"/>
      <c r="F48" s="8" t="s">
        <v>22</v>
      </c>
      <c r="G48" s="230">
        <v>0</v>
      </c>
      <c r="H48" s="97"/>
      <c r="I48" s="96">
        <f>+G48*D48</f>
        <v>0</v>
      </c>
      <c r="J48" s="8"/>
      <c r="K48" s="8"/>
    </row>
    <row r="49" spans="1:11">
      <c r="A49" s="195">
        <f t="shared" si="0"/>
        <v>4</v>
      </c>
      <c r="B49" s="9" t="s">
        <v>764</v>
      </c>
      <c r="C49" s="97" t="s">
        <v>282</v>
      </c>
      <c r="D49" s="96">
        <f>'4- Rate Base'!D24</f>
        <v>245363994.38461539</v>
      </c>
      <c r="E49" s="8"/>
      <c r="F49" s="8" t="s">
        <v>24</v>
      </c>
      <c r="G49" s="230">
        <f>I191</f>
        <v>0.1176002587197187</v>
      </c>
      <c r="H49" s="97"/>
      <c r="I49" s="96">
        <f>+G49*D49</f>
        <v>28854869.220134377</v>
      </c>
      <c r="J49" s="8"/>
      <c r="K49" s="8"/>
    </row>
    <row r="50" spans="1:11">
      <c r="A50" s="195">
        <f t="shared" si="0"/>
        <v>5</v>
      </c>
      <c r="B50" s="9" t="s">
        <v>765</v>
      </c>
      <c r="C50" s="97" t="s">
        <v>1069</v>
      </c>
      <c r="D50" s="96">
        <f>+'4D - Intangible Pnt'!T27</f>
        <v>142753935.15384617</v>
      </c>
      <c r="E50" s="8"/>
      <c r="F50" s="8" t="s">
        <v>81</v>
      </c>
      <c r="G50" s="230"/>
      <c r="H50" s="97"/>
      <c r="I50" s="220">
        <f>'4D - Intangible Pnt'!T29</f>
        <v>12750223.699291581</v>
      </c>
      <c r="J50" s="8"/>
      <c r="K50" s="8"/>
    </row>
    <row r="51" spans="1:11">
      <c r="A51" s="195">
        <f t="shared" si="0"/>
        <v>6</v>
      </c>
      <c r="B51" s="9" t="s">
        <v>1138</v>
      </c>
      <c r="C51" s="97" t="s">
        <v>1070</v>
      </c>
      <c r="D51" s="220">
        <f>'4- Rate Base'!E24</f>
        <v>534109241.11643821</v>
      </c>
      <c r="E51" s="8"/>
      <c r="F51" s="8" t="str">
        <f>F49</f>
        <v>W/S</v>
      </c>
      <c r="G51" s="230">
        <f>G49</f>
        <v>0.1176002587197187</v>
      </c>
      <c r="H51" s="97"/>
      <c r="I51" s="220">
        <f>+G51*D51</f>
        <v>62811384.93988575</v>
      </c>
      <c r="J51" s="8"/>
      <c r="K51" s="8"/>
    </row>
    <row r="52" spans="1:11" ht="13.5" thickBot="1">
      <c r="A52" s="195">
        <f t="shared" si="0"/>
        <v>7</v>
      </c>
      <c r="B52" s="9" t="s">
        <v>1140</v>
      </c>
      <c r="C52" s="8" t="s">
        <v>1071</v>
      </c>
      <c r="D52" s="99">
        <f>-'4E COA'!H34</f>
        <v>-2457768.9115006384</v>
      </c>
      <c r="E52" s="8"/>
      <c r="F52" s="8" t="str">
        <f>F51</f>
        <v>W/S</v>
      </c>
      <c r="G52" s="230">
        <f>G51</f>
        <v>0.1176002587197187</v>
      </c>
      <c r="H52" s="97"/>
      <c r="I52" s="99">
        <f>D52*G52</f>
        <v>-289034.2598657565</v>
      </c>
      <c r="J52" s="8"/>
      <c r="K52" s="8"/>
    </row>
    <row r="53" spans="1:11">
      <c r="A53" s="195">
        <f t="shared" si="0"/>
        <v>8</v>
      </c>
      <c r="B53" s="82" t="s">
        <v>230</v>
      </c>
      <c r="C53" s="8" t="s">
        <v>1072</v>
      </c>
      <c r="D53" s="96">
        <f>SUM(D46:D52)</f>
        <v>8284499826.4357061</v>
      </c>
      <c r="E53" s="8"/>
      <c r="F53" s="8" t="s">
        <v>25</v>
      </c>
      <c r="G53" s="603">
        <f>IF(I53&gt;0,I53/D53,0)</f>
        <v>0.19267290746414831</v>
      </c>
      <c r="H53" s="97"/>
      <c r="I53" s="96">
        <f>SUM(I46:I52)</f>
        <v>1596198668.4455996</v>
      </c>
      <c r="J53" s="8"/>
      <c r="K53" s="196"/>
    </row>
    <row r="54" spans="1:11">
      <c r="A54" s="195"/>
      <c r="B54" s="9"/>
      <c r="C54" s="8"/>
      <c r="D54" s="96"/>
      <c r="E54" s="8"/>
      <c r="F54" s="8"/>
      <c r="G54" s="537"/>
      <c r="H54" s="8"/>
      <c r="I54" s="96"/>
      <c r="J54" s="8"/>
      <c r="K54" s="196"/>
    </row>
    <row r="55" spans="1:11">
      <c r="A55" s="195">
        <f>+A53+1</f>
        <v>9</v>
      </c>
      <c r="B55" s="9" t="s">
        <v>391</v>
      </c>
      <c r="C55" s="8"/>
      <c r="D55" s="96"/>
      <c r="E55" s="8"/>
      <c r="F55" s="8"/>
      <c r="G55" s="230"/>
      <c r="H55" s="8"/>
      <c r="I55" s="96"/>
      <c r="J55" s="8"/>
      <c r="K55" s="8"/>
    </row>
    <row r="56" spans="1:11">
      <c r="A56" s="195">
        <f t="shared" ref="A56:A63" si="1">+A55+1</f>
        <v>10</v>
      </c>
      <c r="B56" s="9" t="s">
        <v>279</v>
      </c>
      <c r="C56" s="8" t="s">
        <v>284</v>
      </c>
      <c r="D56" s="569">
        <v>0</v>
      </c>
      <c r="E56" s="8"/>
      <c r="F56" s="8" t="s">
        <v>22</v>
      </c>
      <c r="G56" s="230" t="s">
        <v>2</v>
      </c>
      <c r="H56" s="8"/>
      <c r="I56" s="96">
        <v>0</v>
      </c>
      <c r="J56" s="8"/>
      <c r="K56" s="8"/>
    </row>
    <row r="57" spans="1:11">
      <c r="A57" s="195">
        <f t="shared" si="1"/>
        <v>11</v>
      </c>
      <c r="B57" s="9" t="s">
        <v>23</v>
      </c>
      <c r="C57" s="8" t="s">
        <v>287</v>
      </c>
      <c r="D57" s="96">
        <f>'4- Rate Base'!J24</f>
        <v>485852299.15384614</v>
      </c>
      <c r="E57" s="8"/>
      <c r="F57" s="8" t="s">
        <v>15</v>
      </c>
      <c r="G57" s="230">
        <f>+G47</f>
        <v>1</v>
      </c>
      <c r="H57" s="97"/>
      <c r="I57" s="96">
        <f>+G57*D57</f>
        <v>485852299.15384614</v>
      </c>
      <c r="J57" s="8"/>
      <c r="K57" s="8"/>
    </row>
    <row r="58" spans="1:11">
      <c r="A58" s="195">
        <f t="shared" si="1"/>
        <v>12</v>
      </c>
      <c r="B58" s="9" t="s">
        <v>280</v>
      </c>
      <c r="C58" s="8" t="s">
        <v>285</v>
      </c>
      <c r="D58" s="569">
        <v>1634379027.8429532</v>
      </c>
      <c r="E58" s="8"/>
      <c r="F58" s="8" t="s">
        <v>22</v>
      </c>
      <c r="G58" s="230">
        <f>+G48</f>
        <v>0</v>
      </c>
      <c r="H58" s="97"/>
      <c r="I58" s="96">
        <f>+G58*D58</f>
        <v>0</v>
      </c>
      <c r="J58" s="8"/>
      <c r="K58" s="8"/>
    </row>
    <row r="59" spans="1:11">
      <c r="A59" s="195">
        <f t="shared" si="1"/>
        <v>13</v>
      </c>
      <c r="B59" s="9" t="s">
        <v>764</v>
      </c>
      <c r="C59" s="8" t="s">
        <v>755</v>
      </c>
      <c r="D59" s="96">
        <f>'4- Rate Base'!K24</f>
        <v>58619091.230769232</v>
      </c>
      <c r="E59" s="8"/>
      <c r="F59" s="8" t="s">
        <v>24</v>
      </c>
      <c r="G59" s="230">
        <f>+G49</f>
        <v>0.1176002587197187</v>
      </c>
      <c r="H59" s="97"/>
      <c r="I59" s="96">
        <f>+G59*D59</f>
        <v>6893620.2946532555</v>
      </c>
      <c r="J59" s="8"/>
      <c r="K59" s="8"/>
    </row>
    <row r="60" spans="1:11">
      <c r="A60" s="195">
        <f t="shared" si="1"/>
        <v>14</v>
      </c>
      <c r="B60" s="9" t="s">
        <v>765</v>
      </c>
      <c r="C60" s="97" t="s">
        <v>1073</v>
      </c>
      <c r="D60" s="96">
        <f>'4D - Intangible Pnt'!T52</f>
        <v>84626666.846153826</v>
      </c>
      <c r="E60" s="8"/>
      <c r="F60" s="8" t="s">
        <v>81</v>
      </c>
      <c r="G60" s="230"/>
      <c r="H60" s="97"/>
      <c r="I60" s="220">
        <f>'4D - Intangible Pnt'!T54</f>
        <v>3431397.9477393702</v>
      </c>
      <c r="J60" s="8"/>
      <c r="K60" s="8"/>
    </row>
    <row r="61" spans="1:11">
      <c r="A61" s="195">
        <f t="shared" si="1"/>
        <v>15</v>
      </c>
      <c r="B61" s="9" t="s">
        <v>1138</v>
      </c>
      <c r="C61" s="97" t="s">
        <v>756</v>
      </c>
      <c r="D61" s="220">
        <f>'4- Rate Base'!L24</f>
        <v>256725872.64494023</v>
      </c>
      <c r="E61" s="8"/>
      <c r="F61" s="8" t="str">
        <f>F52</f>
        <v>W/S</v>
      </c>
      <c r="G61" s="230">
        <f>+G51</f>
        <v>0.1176002587197187</v>
      </c>
      <c r="H61" s="97"/>
      <c r="I61" s="220">
        <f>+G61*D61</f>
        <v>30191029.043090526</v>
      </c>
      <c r="J61" s="8"/>
      <c r="K61" s="8"/>
    </row>
    <row r="62" spans="1:11" ht="13.5" thickBot="1">
      <c r="A62" s="195">
        <f t="shared" si="1"/>
        <v>16</v>
      </c>
      <c r="B62" s="9" t="s">
        <v>1140</v>
      </c>
      <c r="C62" s="8" t="s">
        <v>1074</v>
      </c>
      <c r="D62" s="99">
        <f>-'4E COA'!H51</f>
        <v>-1718047.0633694148</v>
      </c>
      <c r="E62" s="8"/>
      <c r="F62" s="8" t="str">
        <f>F61</f>
        <v>W/S</v>
      </c>
      <c r="G62" s="230">
        <f>G61</f>
        <v>0.1176002587197187</v>
      </c>
      <c r="H62" s="97"/>
      <c r="I62" s="99">
        <f>+G62*D62</f>
        <v>-202042.77914489614</v>
      </c>
      <c r="J62" s="8"/>
      <c r="K62" s="8"/>
    </row>
    <row r="63" spans="1:11">
      <c r="A63" s="195">
        <f t="shared" si="1"/>
        <v>17</v>
      </c>
      <c r="B63" s="9" t="s">
        <v>231</v>
      </c>
      <c r="C63" s="8" t="s">
        <v>1075</v>
      </c>
      <c r="D63" s="96">
        <f>SUM(D56:D62)</f>
        <v>2518484910.6552935</v>
      </c>
      <c r="E63" s="8"/>
      <c r="F63" s="8"/>
      <c r="G63" s="665"/>
      <c r="H63" s="97"/>
      <c r="I63" s="96">
        <f>SUM(I56:I62)</f>
        <v>526166303.66018438</v>
      </c>
      <c r="J63" s="8"/>
      <c r="K63" s="8"/>
    </row>
    <row r="64" spans="1:11">
      <c r="A64" s="195"/>
      <c r="B64" s="7"/>
      <c r="C64" s="8" t="s">
        <v>2</v>
      </c>
      <c r="D64" s="96"/>
      <c r="E64" s="8"/>
      <c r="F64" s="8"/>
      <c r="G64" s="537"/>
      <c r="H64" s="8"/>
      <c r="I64" s="96"/>
      <c r="J64" s="8"/>
      <c r="K64" s="196"/>
    </row>
    <row r="65" spans="1:11">
      <c r="A65" s="195">
        <f>+A63+1</f>
        <v>18</v>
      </c>
      <c r="B65" s="9" t="s">
        <v>26</v>
      </c>
      <c r="C65" s="8"/>
      <c r="D65" s="96"/>
      <c r="E65" s="8"/>
      <c r="F65" s="8"/>
      <c r="G65" s="230"/>
      <c r="H65" s="8"/>
      <c r="I65" s="96"/>
      <c r="J65" s="8"/>
      <c r="K65" s="8"/>
    </row>
    <row r="66" spans="1:11">
      <c r="A66" s="195">
        <f t="shared" ref="A66:A73" si="2">+A65+1</f>
        <v>19</v>
      </c>
      <c r="B66" s="9" t="s">
        <v>279</v>
      </c>
      <c r="C66" s="8" t="str">
        <f>"(line "&amp;A46&amp;" minus line "&amp;A56&amp;")"</f>
        <v>(line 1 minus line 10)</v>
      </c>
      <c r="D66" s="96">
        <f t="shared" ref="D66:D72" si="3">D46-D56</f>
        <v>0</v>
      </c>
      <c r="E66" s="97"/>
      <c r="F66" s="97"/>
      <c r="G66" s="537"/>
      <c r="H66" s="97"/>
      <c r="I66" s="96">
        <f t="shared" ref="I66:I72" si="4">I46-I56</f>
        <v>0</v>
      </c>
      <c r="J66" s="8"/>
      <c r="K66" s="196"/>
    </row>
    <row r="67" spans="1:11">
      <c r="A67" s="195">
        <f t="shared" si="2"/>
        <v>20</v>
      </c>
      <c r="B67" s="9" t="s">
        <v>23</v>
      </c>
      <c r="C67" s="8" t="str">
        <f t="shared" ref="C67:C72" si="5">"(line "&amp;A47&amp;" minus line "&amp;A57&amp;")"</f>
        <v>(line 2 minus line 11)</v>
      </c>
      <c r="D67" s="96">
        <f t="shared" si="3"/>
        <v>1006218925.6923076</v>
      </c>
      <c r="E67" s="97"/>
      <c r="F67" s="97"/>
      <c r="G67" s="230"/>
      <c r="H67" s="97"/>
      <c r="I67" s="96">
        <f t="shared" si="4"/>
        <v>1006218925.6923076</v>
      </c>
      <c r="J67" s="8"/>
      <c r="K67" s="196"/>
    </row>
    <row r="68" spans="1:11">
      <c r="A68" s="195">
        <f t="shared" si="2"/>
        <v>21</v>
      </c>
      <c r="B68" s="9" t="s">
        <v>280</v>
      </c>
      <c r="C68" s="8" t="str">
        <f t="shared" si="5"/>
        <v>(line 3 minus line 12)</v>
      </c>
      <c r="D68" s="96">
        <f t="shared" si="3"/>
        <v>4238280172.003201</v>
      </c>
      <c r="E68" s="97"/>
      <c r="F68" s="97"/>
      <c r="G68" s="537"/>
      <c r="H68" s="97"/>
      <c r="I68" s="96">
        <f t="shared" si="4"/>
        <v>0</v>
      </c>
      <c r="J68" s="8"/>
      <c r="K68" s="196"/>
    </row>
    <row r="69" spans="1:11">
      <c r="A69" s="195">
        <f t="shared" si="2"/>
        <v>22</v>
      </c>
      <c r="B69" s="9" t="s">
        <v>764</v>
      </c>
      <c r="C69" s="8" t="str">
        <f t="shared" si="5"/>
        <v>(line 4 minus line 13)</v>
      </c>
      <c r="D69" s="96">
        <f t="shared" si="3"/>
        <v>186744903.15384614</v>
      </c>
      <c r="E69" s="97"/>
      <c r="F69" s="97"/>
      <c r="G69" s="537"/>
      <c r="H69" s="97"/>
      <c r="I69" s="96">
        <f t="shared" si="4"/>
        <v>21961248.925481122</v>
      </c>
      <c r="J69" s="8"/>
      <c r="K69" s="196"/>
    </row>
    <row r="70" spans="1:11">
      <c r="A70" s="195">
        <f t="shared" si="2"/>
        <v>23</v>
      </c>
      <c r="B70" s="9" t="s">
        <v>765</v>
      </c>
      <c r="C70" s="8" t="str">
        <f t="shared" si="5"/>
        <v>(line 5 minus line 14)</v>
      </c>
      <c r="D70" s="96">
        <f t="shared" si="3"/>
        <v>58127268.307692349</v>
      </c>
      <c r="E70" s="97"/>
      <c r="F70" s="97"/>
      <c r="G70" s="598"/>
      <c r="H70" s="97"/>
      <c r="I70" s="96">
        <f t="shared" si="4"/>
        <v>9318825.7515522111</v>
      </c>
      <c r="J70" s="8"/>
      <c r="K70" s="196"/>
    </row>
    <row r="71" spans="1:11">
      <c r="A71" s="195">
        <f t="shared" si="2"/>
        <v>24</v>
      </c>
      <c r="B71" s="9" t="s">
        <v>1138</v>
      </c>
      <c r="C71" s="8" t="str">
        <f t="shared" si="5"/>
        <v>(line 6 minus line 15)</v>
      </c>
      <c r="D71" s="220">
        <f t="shared" si="3"/>
        <v>277383368.47149801</v>
      </c>
      <c r="E71" s="8"/>
      <c r="F71" s="97"/>
      <c r="G71" s="598"/>
      <c r="H71" s="97"/>
      <c r="I71" s="220">
        <f t="shared" si="4"/>
        <v>32620355.896795224</v>
      </c>
      <c r="J71" s="8"/>
      <c r="K71" s="196"/>
    </row>
    <row r="72" spans="1:11" ht="13.5" thickBot="1">
      <c r="A72" s="195">
        <f t="shared" si="2"/>
        <v>25</v>
      </c>
      <c r="B72" s="9" t="s">
        <v>1140</v>
      </c>
      <c r="C72" s="8" t="str">
        <f t="shared" si="5"/>
        <v>(line 7 minus line 16)</v>
      </c>
      <c r="D72" s="99">
        <f t="shared" si="3"/>
        <v>-739721.84813122358</v>
      </c>
      <c r="E72" s="8"/>
      <c r="F72" s="97"/>
      <c r="G72" s="598"/>
      <c r="H72" s="97"/>
      <c r="I72" s="99">
        <f t="shared" si="4"/>
        <v>-86991.48072086036</v>
      </c>
      <c r="J72" s="8"/>
      <c r="K72" s="196"/>
    </row>
    <row r="73" spans="1:11">
      <c r="A73" s="195">
        <f t="shared" si="2"/>
        <v>26</v>
      </c>
      <c r="B73" s="9" t="s">
        <v>233</v>
      </c>
      <c r="C73" s="8" t="s">
        <v>1076</v>
      </c>
      <c r="D73" s="96">
        <f>SUM(D66:D72)</f>
        <v>5766014915.7804146</v>
      </c>
      <c r="E73" s="8"/>
      <c r="F73" s="8" t="s">
        <v>27</v>
      </c>
      <c r="G73" s="598">
        <f>IF(I73&gt;0,I73/D73,0)</f>
        <v>0.18557571917772073</v>
      </c>
      <c r="H73" s="97"/>
      <c r="I73" s="96">
        <f>SUM(I66:I72)</f>
        <v>1070032364.7854153</v>
      </c>
      <c r="J73" s="8"/>
      <c r="K73" s="8"/>
    </row>
    <row r="74" spans="1:11">
      <c r="A74" s="195"/>
      <c r="B74" s="7"/>
      <c r="C74" s="8"/>
      <c r="D74" s="96"/>
      <c r="E74" s="8"/>
      <c r="F74" s="7"/>
      <c r="G74" s="230"/>
      <c r="H74" s="8"/>
      <c r="I74" s="96"/>
      <c r="J74" s="8"/>
      <c r="K74" s="196"/>
    </row>
    <row r="75" spans="1:11">
      <c r="A75" s="195">
        <f>+A73+1</f>
        <v>27</v>
      </c>
      <c r="B75" s="82" t="s">
        <v>392</v>
      </c>
      <c r="C75" s="8"/>
      <c r="D75" s="96"/>
      <c r="E75" s="8"/>
      <c r="F75" s="8"/>
      <c r="G75" s="230"/>
      <c r="H75" s="8"/>
      <c r="I75" s="96"/>
      <c r="J75" s="8"/>
      <c r="K75" s="8"/>
    </row>
    <row r="76" spans="1:11">
      <c r="A76" s="195">
        <f>+A75+1</f>
        <v>28</v>
      </c>
      <c r="B76" s="9" t="s">
        <v>92</v>
      </c>
      <c r="C76" s="8" t="s">
        <v>1077</v>
      </c>
      <c r="D76" s="96" t="str">
        <f>'4A - ADIT Summary'!M90</f>
        <v>Zero</v>
      </c>
      <c r="E76" s="8"/>
      <c r="F76" s="8" t="s">
        <v>22</v>
      </c>
      <c r="G76" s="229" t="s">
        <v>112</v>
      </c>
      <c r="H76" s="97"/>
      <c r="I76" s="96">
        <v>0</v>
      </c>
      <c r="J76" s="8"/>
      <c r="K76" s="196"/>
    </row>
    <row r="77" spans="1:11">
      <c r="A77" s="195">
        <f>+A76+1</f>
        <v>29</v>
      </c>
      <c r="B77" s="9" t="s">
        <v>93</v>
      </c>
      <c r="C77" s="8" t="s">
        <v>1078</v>
      </c>
      <c r="D77" s="220">
        <f>'4A - ADIT Summary'!M78</f>
        <v>-260301938.49132666</v>
      </c>
      <c r="E77" s="8"/>
      <c r="F77" s="8" t="s">
        <v>15</v>
      </c>
      <c r="G77" s="809">
        <f>G81</f>
        <v>1</v>
      </c>
      <c r="H77" s="97"/>
      <c r="I77" s="96">
        <f>D77*G77</f>
        <v>-260301938.49132666</v>
      </c>
      <c r="J77" s="8"/>
      <c r="K77" s="196"/>
    </row>
    <row r="78" spans="1:11">
      <c r="A78" s="195">
        <f>+A77+1</f>
        <v>30</v>
      </c>
      <c r="B78" s="9" t="s">
        <v>94</v>
      </c>
      <c r="C78" s="8" t="s">
        <v>1079</v>
      </c>
      <c r="D78" s="220">
        <f>'4A - ADIT Summary'!M84</f>
        <v>-7987142.5179059319</v>
      </c>
      <c r="E78" s="8"/>
      <c r="F78" s="8" t="s">
        <v>15</v>
      </c>
      <c r="G78" s="230">
        <f>+G77</f>
        <v>1</v>
      </c>
      <c r="H78" s="97"/>
      <c r="I78" s="96">
        <f>D78*G78</f>
        <v>-7987142.5179059319</v>
      </c>
      <c r="J78" s="8"/>
      <c r="K78" s="196"/>
    </row>
    <row r="79" spans="1:11">
      <c r="A79" s="195">
        <f>+A78+1</f>
        <v>31</v>
      </c>
      <c r="B79" s="9" t="s">
        <v>99</v>
      </c>
      <c r="C79" s="8" t="s">
        <v>1080</v>
      </c>
      <c r="D79" s="220">
        <f>'4A - ADIT Summary'!M96</f>
        <v>12181867.363936294</v>
      </c>
      <c r="E79" s="8"/>
      <c r="F79" s="8" t="s">
        <v>15</v>
      </c>
      <c r="G79" s="230">
        <f>+G78</f>
        <v>1</v>
      </c>
      <c r="H79" s="97"/>
      <c r="I79" s="96">
        <f>D79*G79</f>
        <v>12181867.363936294</v>
      </c>
      <c r="J79" s="8"/>
      <c r="K79" s="196"/>
    </row>
    <row r="80" spans="1:11">
      <c r="A80" s="195">
        <f>+A79+1</f>
        <v>32</v>
      </c>
      <c r="B80" s="7" t="s">
        <v>95</v>
      </c>
      <c r="C80" s="8" t="s">
        <v>395</v>
      </c>
      <c r="D80" s="220">
        <f>'4- Rate Base'!I44</f>
        <v>0</v>
      </c>
      <c r="E80" s="8"/>
      <c r="F80" s="8" t="s">
        <v>15</v>
      </c>
      <c r="G80" s="230">
        <f>+G78</f>
        <v>1</v>
      </c>
      <c r="H80" s="97"/>
      <c r="I80" s="220">
        <f>D80*G80</f>
        <v>0</v>
      </c>
      <c r="J80" s="8"/>
      <c r="K80" s="196"/>
    </row>
    <row r="81" spans="1:11">
      <c r="A81" s="195">
        <f t="shared" ref="A81:A88" si="6">+A80+1</f>
        <v>33</v>
      </c>
      <c r="B81" s="7" t="s">
        <v>389</v>
      </c>
      <c r="C81" s="7" t="s">
        <v>487</v>
      </c>
      <c r="D81" s="220">
        <f>'4- Rate Base'!I65</f>
        <v>-6493904.6888323966</v>
      </c>
      <c r="E81" s="8"/>
      <c r="F81" s="8" t="s">
        <v>81</v>
      </c>
      <c r="G81" s="230">
        <f>G82</f>
        <v>1</v>
      </c>
      <c r="H81" s="97"/>
      <c r="I81" s="220">
        <f t="shared" ref="I81:I87" si="7">+G81*D81</f>
        <v>-6493904.6888323966</v>
      </c>
      <c r="J81" s="8"/>
      <c r="K81" s="196"/>
    </row>
    <row r="82" spans="1:11">
      <c r="A82" s="195">
        <f t="shared" si="6"/>
        <v>34</v>
      </c>
      <c r="B82" s="409" t="s">
        <v>91</v>
      </c>
      <c r="C82" s="95" t="s">
        <v>757</v>
      </c>
      <c r="D82" s="220">
        <f>'4- Rate Base'!F24</f>
        <v>0</v>
      </c>
      <c r="E82" s="93"/>
      <c r="F82" s="93" t="str">
        <f>+F84</f>
        <v>DA</v>
      </c>
      <c r="G82" s="596">
        <v>1</v>
      </c>
      <c r="H82" s="93"/>
      <c r="I82" s="220">
        <f t="shared" si="7"/>
        <v>0</v>
      </c>
      <c r="K82" s="196"/>
    </row>
    <row r="83" spans="1:11">
      <c r="A83" s="195">
        <f t="shared" si="6"/>
        <v>35</v>
      </c>
      <c r="B83" s="409" t="s">
        <v>870</v>
      </c>
      <c r="C83" s="95" t="s">
        <v>1081</v>
      </c>
      <c r="D83" s="220">
        <f>+'4- Rate Base'!J44</f>
        <v>32679469.0842347</v>
      </c>
      <c r="E83" s="93"/>
      <c r="F83" s="93" t="str">
        <f>+F85</f>
        <v>DA</v>
      </c>
      <c r="G83" s="596">
        <v>1</v>
      </c>
      <c r="H83" s="93"/>
      <c r="I83" s="220">
        <f t="shared" si="7"/>
        <v>32679469.0842347</v>
      </c>
      <c r="K83" s="196"/>
    </row>
    <row r="84" spans="1:11">
      <c r="A84" s="195">
        <f t="shared" si="6"/>
        <v>36</v>
      </c>
      <c r="B84" s="94" t="s">
        <v>106</v>
      </c>
      <c r="C84" s="95" t="s">
        <v>1082</v>
      </c>
      <c r="D84" s="220">
        <f>+'4- Rate Base'!C44</f>
        <v>0</v>
      </c>
      <c r="E84" s="93"/>
      <c r="F84" s="93" t="str">
        <f>+F85</f>
        <v>DA</v>
      </c>
      <c r="G84" s="596">
        <v>1</v>
      </c>
      <c r="H84" s="93"/>
      <c r="I84" s="220">
        <f t="shared" si="7"/>
        <v>0</v>
      </c>
      <c r="K84" s="196"/>
    </row>
    <row r="85" spans="1:11">
      <c r="A85" s="195">
        <f t="shared" si="6"/>
        <v>37</v>
      </c>
      <c r="B85" s="94" t="s">
        <v>107</v>
      </c>
      <c r="C85" s="95" t="s">
        <v>1083</v>
      </c>
      <c r="D85" s="220">
        <f>+'4- Rate Base'!D44</f>
        <v>0</v>
      </c>
      <c r="E85" s="93"/>
      <c r="F85" s="93" t="s">
        <v>81</v>
      </c>
      <c r="G85" s="596">
        <v>1</v>
      </c>
      <c r="H85" s="93"/>
      <c r="I85" s="220">
        <f t="shared" si="7"/>
        <v>0</v>
      </c>
      <c r="K85" s="196"/>
    </row>
    <row r="86" spans="1:11">
      <c r="A86" s="195">
        <f t="shared" si="6"/>
        <v>38</v>
      </c>
      <c r="B86" s="117" t="s">
        <v>689</v>
      </c>
      <c r="C86" s="117" t="s">
        <v>688</v>
      </c>
      <c r="D86" s="571">
        <v>0</v>
      </c>
      <c r="E86" s="93"/>
      <c r="F86" s="93" t="str">
        <f>+F87</f>
        <v>DA</v>
      </c>
      <c r="G86" s="596">
        <v>1</v>
      </c>
      <c r="H86" s="93"/>
      <c r="I86" s="220">
        <f t="shared" si="7"/>
        <v>0</v>
      </c>
      <c r="K86" s="196"/>
    </row>
    <row r="87" spans="1:11" ht="13.5" thickBot="1">
      <c r="A87" s="195">
        <f t="shared" si="6"/>
        <v>39</v>
      </c>
      <c r="B87" s="118" t="s">
        <v>691</v>
      </c>
      <c r="C87" s="117" t="s">
        <v>688</v>
      </c>
      <c r="D87" s="700">
        <v>0</v>
      </c>
      <c r="E87" s="93"/>
      <c r="F87" s="93" t="s">
        <v>81</v>
      </c>
      <c r="G87" s="596">
        <v>1</v>
      </c>
      <c r="H87" s="93"/>
      <c r="I87" s="99">
        <f t="shared" si="7"/>
        <v>0</v>
      </c>
      <c r="K87" s="196"/>
    </row>
    <row r="88" spans="1:11">
      <c r="A88" s="195">
        <f t="shared" si="6"/>
        <v>40</v>
      </c>
      <c r="B88" s="9" t="s">
        <v>232</v>
      </c>
      <c r="C88" s="8" t="s">
        <v>1084</v>
      </c>
      <c r="D88" s="96">
        <f>SUM(D76:D87)</f>
        <v>-229921649.24989396</v>
      </c>
      <c r="E88" s="8"/>
      <c r="F88" s="8"/>
      <c r="G88" s="230"/>
      <c r="H88" s="97"/>
      <c r="I88" s="96">
        <f>SUM(I76:I87)</f>
        <v>-229921649.24989396</v>
      </c>
      <c r="J88" s="8"/>
      <c r="K88" s="8"/>
    </row>
    <row r="89" spans="1:11">
      <c r="A89" s="195"/>
      <c r="B89" s="7"/>
      <c r="C89" s="8"/>
      <c r="D89" s="96"/>
      <c r="E89" s="8"/>
      <c r="F89" s="8"/>
      <c r="G89" s="537"/>
      <c r="H89" s="8"/>
      <c r="I89" s="96"/>
      <c r="J89" s="8"/>
      <c r="K89" s="196"/>
    </row>
    <row r="90" spans="1:11">
      <c r="A90" s="195">
        <f>+A88+1</f>
        <v>41</v>
      </c>
      <c r="B90" s="82" t="s">
        <v>396</v>
      </c>
      <c r="C90" s="357" t="s">
        <v>300</v>
      </c>
      <c r="D90" s="96">
        <f>+'4- Rate Base'!G24</f>
        <v>1137056.8799999999</v>
      </c>
      <c r="E90" s="8"/>
      <c r="F90" s="8" t="s">
        <v>15</v>
      </c>
      <c r="G90" s="230">
        <f>+G57</f>
        <v>1</v>
      </c>
      <c r="H90" s="97"/>
      <c r="I90" s="96">
        <f>+G90*D90</f>
        <v>1137056.8799999999</v>
      </c>
      <c r="J90" s="8"/>
      <c r="K90" s="8"/>
    </row>
    <row r="91" spans="1:11">
      <c r="A91" s="195"/>
      <c r="B91" s="9"/>
      <c r="C91" s="8"/>
      <c r="D91" s="96"/>
      <c r="E91" s="8"/>
      <c r="F91" s="8"/>
      <c r="G91" s="230"/>
      <c r="H91" s="97"/>
      <c r="I91" s="96"/>
      <c r="J91" s="8"/>
      <c r="K91" s="8"/>
    </row>
    <row r="92" spans="1:11">
      <c r="A92" s="195">
        <f>+A90+1</f>
        <v>42</v>
      </c>
      <c r="B92" s="9" t="s">
        <v>235</v>
      </c>
      <c r="C92" s="8" t="s">
        <v>110</v>
      </c>
      <c r="D92" s="96"/>
      <c r="E92" s="8"/>
      <c r="F92" s="8"/>
      <c r="G92" s="230"/>
      <c r="H92" s="97"/>
      <c r="I92" s="96"/>
      <c r="J92" s="8"/>
      <c r="K92" s="8"/>
    </row>
    <row r="93" spans="1:11">
      <c r="A93" s="195">
        <f>+A92+1</f>
        <v>43</v>
      </c>
      <c r="B93" s="9" t="s">
        <v>113</v>
      </c>
      <c r="C93" s="7" t="s">
        <v>1085</v>
      </c>
      <c r="D93" s="96">
        <f>(D122-D117)/8</f>
        <v>29776493.540410031</v>
      </c>
      <c r="E93" s="8"/>
      <c r="F93" s="8"/>
      <c r="G93" s="230"/>
      <c r="H93" s="97"/>
      <c r="I93" s="96">
        <f>(I122-I117)/8</f>
        <v>8719744.7621891238</v>
      </c>
      <c r="J93" s="83"/>
      <c r="K93" s="196"/>
    </row>
    <row r="94" spans="1:11">
      <c r="A94" s="195">
        <f>+A93+1</f>
        <v>44</v>
      </c>
      <c r="B94" s="9" t="s">
        <v>176</v>
      </c>
      <c r="C94" s="357" t="s">
        <v>856</v>
      </c>
      <c r="D94" s="96">
        <f>+'4- Rate Base'!H24</f>
        <v>12972612.439988382</v>
      </c>
      <c r="E94" s="8"/>
      <c r="F94" s="8" t="s">
        <v>15</v>
      </c>
      <c r="G94" s="230">
        <f>+G111</f>
        <v>1</v>
      </c>
      <c r="H94" s="97"/>
      <c r="I94" s="96">
        <f>+G94*D94</f>
        <v>12972612.439988382</v>
      </c>
      <c r="J94" s="8" t="s">
        <v>2</v>
      </c>
      <c r="K94" s="196"/>
    </row>
    <row r="95" spans="1:11" ht="13.5" thickBot="1">
      <c r="A95" s="195">
        <f>+A94+1</f>
        <v>45</v>
      </c>
      <c r="B95" s="9" t="s">
        <v>96</v>
      </c>
      <c r="C95" s="97" t="s">
        <v>286</v>
      </c>
      <c r="D95" s="99">
        <f>+'4- Rate Base'!I24</f>
        <v>1425117.3191134729</v>
      </c>
      <c r="E95" s="8"/>
      <c r="F95" s="8" t="s">
        <v>81</v>
      </c>
      <c r="G95" s="230">
        <v>1</v>
      </c>
      <c r="H95" s="97"/>
      <c r="I95" s="99">
        <f>+G95*D95</f>
        <v>1425117.3191134729</v>
      </c>
      <c r="J95" s="8"/>
      <c r="K95" s="196"/>
    </row>
    <row r="96" spans="1:11">
      <c r="A96" s="195">
        <f>+A95+1</f>
        <v>46</v>
      </c>
      <c r="B96" s="9" t="s">
        <v>234</v>
      </c>
      <c r="C96" s="83" t="s">
        <v>837</v>
      </c>
      <c r="D96" s="96">
        <f>SUM(D93:D95)</f>
        <v>44174223.299511887</v>
      </c>
      <c r="E96" s="83"/>
      <c r="F96" s="83"/>
      <c r="G96" s="410"/>
      <c r="H96" s="410"/>
      <c r="I96" s="96">
        <f>SUM(I93:I95)</f>
        <v>23117474.52129098</v>
      </c>
      <c r="J96" s="83"/>
      <c r="K96" s="83"/>
    </row>
    <row r="97" spans="1:11" ht="13.5" thickBot="1">
      <c r="A97" s="195"/>
      <c r="B97" s="7"/>
      <c r="C97" s="8"/>
      <c r="D97" s="99"/>
      <c r="E97" s="8"/>
      <c r="F97" s="8"/>
      <c r="G97" s="8"/>
      <c r="H97" s="8"/>
      <c r="I97" s="99"/>
      <c r="J97" s="8"/>
      <c r="K97" s="8"/>
    </row>
    <row r="98" spans="1:11" ht="13.5" thickBot="1">
      <c r="A98" s="195">
        <f>+A96+1</f>
        <v>47</v>
      </c>
      <c r="B98" s="9" t="s">
        <v>236</v>
      </c>
      <c r="C98" s="8" t="s">
        <v>838</v>
      </c>
      <c r="D98" s="411">
        <f>+D96+D90+D88+D73</f>
        <v>5581404546.7100325</v>
      </c>
      <c r="E98" s="97"/>
      <c r="F98" s="97"/>
      <c r="G98" s="412"/>
      <c r="H98" s="97"/>
      <c r="I98" s="411">
        <f>+I96+I90+I88+I73</f>
        <v>864365246.93681228</v>
      </c>
      <c r="J98" s="8"/>
      <c r="K98" s="196"/>
    </row>
    <row r="99" spans="1:11" ht="16.5" thickTop="1">
      <c r="A99" s="195"/>
      <c r="B99" s="333"/>
      <c r="C99" s="413"/>
      <c r="D99" s="414"/>
      <c r="E99" s="413"/>
      <c r="F99" s="415"/>
      <c r="G99" s="416"/>
      <c r="H99" s="417"/>
      <c r="I99" s="101"/>
      <c r="J99" s="8"/>
      <c r="K99" s="196"/>
    </row>
    <row r="100" spans="1:11" ht="15" hidden="1">
      <c r="A100" s="195"/>
      <c r="B100" s="413"/>
      <c r="D100" s="413"/>
      <c r="E100" s="334"/>
      <c r="G100" s="413"/>
      <c r="I100" s="101"/>
      <c r="J100" s="8"/>
      <c r="K100" s="196"/>
    </row>
    <row r="101" spans="1:11" ht="15">
      <c r="A101" s="195"/>
      <c r="B101" s="413"/>
      <c r="D101" s="416"/>
      <c r="E101" s="334"/>
      <c r="F101" s="181"/>
      <c r="G101" s="416"/>
      <c r="I101" s="8"/>
      <c r="J101" s="8"/>
      <c r="K101" s="418" t="s">
        <v>114</v>
      </c>
    </row>
    <row r="102" spans="1:11" ht="15">
      <c r="A102" s="195"/>
      <c r="B102" s="413"/>
      <c r="C102" s="413"/>
      <c r="D102" s="413"/>
      <c r="E102" s="419"/>
      <c r="F102" s="415"/>
      <c r="G102" s="413"/>
      <c r="H102" s="413"/>
      <c r="I102" s="8"/>
      <c r="J102" s="8"/>
      <c r="K102" s="418"/>
    </row>
    <row r="103" spans="1:11">
      <c r="A103" s="195"/>
      <c r="B103" s="9" t="s">
        <v>1</v>
      </c>
      <c r="C103" s="8"/>
      <c r="D103" s="104" t="s">
        <v>77</v>
      </c>
      <c r="E103" s="8"/>
      <c r="F103" s="8"/>
      <c r="G103" s="8"/>
      <c r="H103" s="8"/>
      <c r="I103" s="18"/>
      <c r="J103" s="8"/>
      <c r="K103" s="418" t="str">
        <f>K3</f>
        <v>For  the 12 months ended 12/31/2017</v>
      </c>
    </row>
    <row r="104" spans="1:11">
      <c r="A104" s="195"/>
      <c r="B104" s="9"/>
      <c r="C104" s="8"/>
      <c r="D104" s="104" t="s">
        <v>104</v>
      </c>
      <c r="E104" s="8"/>
      <c r="F104" s="8"/>
      <c r="G104" s="8"/>
      <c r="H104" s="8"/>
      <c r="I104" s="8"/>
      <c r="J104" s="8"/>
      <c r="K104" s="8"/>
    </row>
    <row r="105" spans="1:11">
      <c r="A105" s="195"/>
      <c r="B105" s="7"/>
      <c r="C105" s="8"/>
      <c r="D105" s="104" t="str">
        <f>+D39</f>
        <v>PECO Energy Company</v>
      </c>
      <c r="E105" s="8"/>
      <c r="F105" s="8"/>
      <c r="G105" s="8"/>
      <c r="H105" s="8"/>
      <c r="I105" s="8"/>
      <c r="J105" s="8"/>
      <c r="K105" s="8"/>
    </row>
    <row r="106" spans="1:11">
      <c r="A106" s="974"/>
      <c r="B106" s="974"/>
      <c r="C106" s="974"/>
      <c r="D106" s="974"/>
      <c r="E106" s="974"/>
      <c r="F106" s="974"/>
      <c r="G106" s="974"/>
      <c r="H106" s="974"/>
      <c r="I106" s="974"/>
      <c r="J106" s="974"/>
      <c r="K106" s="974"/>
    </row>
    <row r="107" spans="1:11">
      <c r="A107" s="195"/>
      <c r="B107" s="225" t="s">
        <v>3</v>
      </c>
      <c r="C107" s="225" t="s">
        <v>4</v>
      </c>
      <c r="D107" s="225" t="s">
        <v>5</v>
      </c>
      <c r="E107" s="8" t="s">
        <v>2</v>
      </c>
      <c r="F107" s="8"/>
      <c r="G107" s="107" t="s">
        <v>6</v>
      </c>
      <c r="H107" s="8"/>
      <c r="I107" s="107" t="s">
        <v>7</v>
      </c>
      <c r="J107" s="8"/>
      <c r="K107" s="8"/>
    </row>
    <row r="108" spans="1:11">
      <c r="A108" s="195" t="s">
        <v>8</v>
      </c>
      <c r="B108" s="9"/>
      <c r="C108" s="403"/>
      <c r="D108" s="8"/>
      <c r="E108" s="8"/>
      <c r="F108" s="8"/>
      <c r="G108" s="195"/>
      <c r="H108" s="8"/>
      <c r="I108" s="404" t="s">
        <v>17</v>
      </c>
      <c r="J108" s="8"/>
      <c r="K108" s="404"/>
    </row>
    <row r="109" spans="1:11" ht="13.5" thickBot="1">
      <c r="A109" s="379" t="s">
        <v>10</v>
      </c>
      <c r="B109" s="9"/>
      <c r="C109" s="405" t="s">
        <v>218</v>
      </c>
      <c r="D109" s="404" t="s">
        <v>19</v>
      </c>
      <c r="E109" s="406"/>
      <c r="F109" s="404" t="s">
        <v>20</v>
      </c>
      <c r="G109" s="7"/>
      <c r="H109" s="406"/>
      <c r="I109" s="195" t="s">
        <v>21</v>
      </c>
      <c r="J109" s="8"/>
      <c r="K109" s="404"/>
    </row>
    <row r="110" spans="1:11">
      <c r="A110" s="195"/>
      <c r="B110" s="9" t="s">
        <v>0</v>
      </c>
      <c r="C110" s="8"/>
      <c r="D110" s="8"/>
      <c r="E110" s="8"/>
      <c r="F110" s="8"/>
      <c r="G110" s="8"/>
      <c r="H110" s="8"/>
      <c r="I110" s="8"/>
      <c r="J110" s="8"/>
      <c r="K110" s="8"/>
    </row>
    <row r="111" spans="1:11">
      <c r="A111" s="195">
        <v>1</v>
      </c>
      <c r="B111" s="9" t="s">
        <v>30</v>
      </c>
      <c r="C111" s="8" t="s">
        <v>1086</v>
      </c>
      <c r="D111" s="96">
        <f>'5-P3 Support'!C12</f>
        <v>184929330</v>
      </c>
      <c r="E111" s="8"/>
      <c r="F111" s="8" t="s">
        <v>15</v>
      </c>
      <c r="G111" s="230">
        <f>+I183</f>
        <v>1</v>
      </c>
      <c r="H111" s="97"/>
      <c r="I111" s="96">
        <f>+G111*D111</f>
        <v>184929330</v>
      </c>
      <c r="J111" s="83"/>
      <c r="K111" s="8"/>
    </row>
    <row r="112" spans="1:11">
      <c r="A112" s="397">
        <f>+A111+1</f>
        <v>2</v>
      </c>
      <c r="B112" s="98" t="s">
        <v>101</v>
      </c>
      <c r="C112" s="8" t="s">
        <v>1087</v>
      </c>
      <c r="D112" s="96">
        <f>'5-P3 Support'!D12</f>
        <v>11680412</v>
      </c>
      <c r="E112" s="95"/>
      <c r="F112" s="95" t="str">
        <f>+F111</f>
        <v>TP</v>
      </c>
      <c r="G112" s="230">
        <f>+G111</f>
        <v>1</v>
      </c>
      <c r="H112" s="95"/>
      <c r="I112" s="96">
        <f>+G112*D112</f>
        <v>11680412</v>
      </c>
      <c r="K112" s="8"/>
    </row>
    <row r="113" spans="1:11">
      <c r="A113" s="397">
        <f t="shared" ref="A113:A159" si="8">+A112+1</f>
        <v>3</v>
      </c>
      <c r="B113" s="9" t="s">
        <v>31</v>
      </c>
      <c r="C113" s="8" t="s">
        <v>1088</v>
      </c>
      <c r="D113" s="96">
        <f>'5-P3 Support'!E12</f>
        <v>0</v>
      </c>
      <c r="E113" s="8"/>
      <c r="F113" s="8" t="str">
        <f>+F112</f>
        <v>TP</v>
      </c>
      <c r="G113" s="230">
        <f>+G112</f>
        <v>1</v>
      </c>
      <c r="H113" s="97"/>
      <c r="I113" s="96">
        <f>+G113*D113</f>
        <v>0</v>
      </c>
      <c r="J113" s="83"/>
      <c r="K113" s="8"/>
    </row>
    <row r="114" spans="1:11">
      <c r="A114" s="397">
        <f t="shared" si="8"/>
        <v>4</v>
      </c>
      <c r="B114" s="9" t="s">
        <v>744</v>
      </c>
      <c r="C114" s="9" t="s">
        <v>1089</v>
      </c>
      <c r="D114" s="96">
        <f>+'5-P3 Support'!F12</f>
        <v>136281037</v>
      </c>
      <c r="E114" s="8"/>
      <c r="F114" s="9" t="str">
        <f>+F113</f>
        <v>TP</v>
      </c>
      <c r="G114" s="230">
        <v>1</v>
      </c>
      <c r="H114" s="97"/>
      <c r="I114" s="96">
        <f>+D114*G114</f>
        <v>136281037</v>
      </c>
      <c r="J114" s="83"/>
      <c r="K114" s="8"/>
    </row>
    <row r="115" spans="1:11">
      <c r="A115" s="397">
        <f t="shared" si="8"/>
        <v>5</v>
      </c>
      <c r="B115" s="9" t="s">
        <v>32</v>
      </c>
      <c r="C115" s="380" t="s">
        <v>1097</v>
      </c>
      <c r="D115" s="96">
        <f>+'5B - A&amp;G'!E24</f>
        <v>192457819</v>
      </c>
      <c r="E115" s="8"/>
      <c r="F115" s="8" t="s">
        <v>81</v>
      </c>
      <c r="G115" s="230"/>
      <c r="H115" s="97"/>
      <c r="I115" s="96">
        <f>+'5B - A&amp;G'!J27</f>
        <v>21450019.494672455</v>
      </c>
      <c r="J115" s="8"/>
      <c r="K115" s="8" t="s">
        <v>2</v>
      </c>
    </row>
    <row r="116" spans="1:11">
      <c r="A116" s="397">
        <f>+A115+1</f>
        <v>6</v>
      </c>
      <c r="B116" s="98" t="s">
        <v>766</v>
      </c>
      <c r="C116" s="95"/>
      <c r="D116" s="220"/>
      <c r="E116" s="95"/>
      <c r="F116" s="95"/>
      <c r="G116" s="230"/>
      <c r="H116" s="95"/>
      <c r="I116" s="220"/>
      <c r="K116" s="8"/>
    </row>
    <row r="117" spans="1:11">
      <c r="A117" s="397">
        <f t="shared" si="8"/>
        <v>7</v>
      </c>
      <c r="B117" s="98" t="s">
        <v>103</v>
      </c>
      <c r="C117" s="95" t="s">
        <v>1090</v>
      </c>
      <c r="D117" s="220">
        <f>'5-P3 Support'!G12</f>
        <v>0</v>
      </c>
      <c r="E117" s="93"/>
      <c r="F117" s="93" t="s">
        <v>81</v>
      </c>
      <c r="G117" s="596">
        <v>1</v>
      </c>
      <c r="H117" s="93"/>
      <c r="I117" s="220">
        <f>+G117*D117</f>
        <v>0</v>
      </c>
      <c r="K117" s="8"/>
    </row>
    <row r="118" spans="1:11">
      <c r="A118" s="397">
        <f t="shared" si="8"/>
        <v>8</v>
      </c>
      <c r="B118" s="98" t="s">
        <v>346</v>
      </c>
      <c r="C118" s="8" t="s">
        <v>1091</v>
      </c>
      <c r="D118" s="220">
        <f>'5-P3 Support'!H12</f>
        <v>11680412</v>
      </c>
      <c r="E118" s="93"/>
      <c r="F118" s="93" t="s">
        <v>15</v>
      </c>
      <c r="G118" s="596">
        <f>+G111</f>
        <v>1</v>
      </c>
      <c r="H118" s="93"/>
      <c r="I118" s="220">
        <f>+G118*D118</f>
        <v>11680412</v>
      </c>
      <c r="K118" s="8"/>
    </row>
    <row r="119" spans="1:11">
      <c r="A119" s="397">
        <f>+A118+1</f>
        <v>9</v>
      </c>
      <c r="B119" s="98" t="s">
        <v>102</v>
      </c>
      <c r="C119" s="95" t="s">
        <v>839</v>
      </c>
      <c r="D119" s="220">
        <f>+D117+D118</f>
        <v>11680412</v>
      </c>
      <c r="E119" s="93"/>
      <c r="F119" s="93"/>
      <c r="G119" s="596"/>
      <c r="H119" s="93"/>
      <c r="I119" s="220">
        <f>+I117+I118</f>
        <v>11680412</v>
      </c>
      <c r="K119" s="8"/>
    </row>
    <row r="120" spans="1:11">
      <c r="A120" s="397">
        <f>+A119+1</f>
        <v>10</v>
      </c>
      <c r="B120" s="98" t="s">
        <v>767</v>
      </c>
      <c r="C120" s="95" t="s">
        <v>1098</v>
      </c>
      <c r="D120" s="220">
        <f>+'7 - PBOP'!F12</f>
        <v>576523.52328023966</v>
      </c>
      <c r="E120" s="93"/>
      <c r="F120" s="396" t="s">
        <v>24</v>
      </c>
      <c r="G120" s="596">
        <f>$I$191</f>
        <v>0.1176002587197187</v>
      </c>
      <c r="H120" s="101"/>
      <c r="I120" s="220">
        <f>+G120*D120</f>
        <v>67799.315495759947</v>
      </c>
      <c r="K120" s="8"/>
    </row>
    <row r="121" spans="1:11" ht="13.5" thickBot="1">
      <c r="A121" s="397">
        <f>+A120+1</f>
        <v>11</v>
      </c>
      <c r="B121" s="98" t="s">
        <v>769</v>
      </c>
      <c r="C121" s="8" t="s">
        <v>1092</v>
      </c>
      <c r="D121" s="99">
        <f>'4E COA'!H17</f>
        <v>3470687.1999999993</v>
      </c>
      <c r="E121" s="93"/>
      <c r="F121" s="396" t="s">
        <v>24</v>
      </c>
      <c r="G121" s="596">
        <f>$I$191</f>
        <v>0.1176002587197187</v>
      </c>
      <c r="H121" s="101"/>
      <c r="I121" s="99">
        <f>D121*G121</f>
        <v>408153.71265521599</v>
      </c>
      <c r="K121" s="8"/>
    </row>
    <row r="122" spans="1:11">
      <c r="A122" s="397">
        <f>A121+1</f>
        <v>12</v>
      </c>
      <c r="B122" s="420" t="s">
        <v>237</v>
      </c>
      <c r="C122" s="356" t="s">
        <v>1099</v>
      </c>
      <c r="D122" s="96">
        <f>+D111-D113-D112-D114+D115+D119+D120-D121</f>
        <v>238211948.32328025</v>
      </c>
      <c r="E122" s="96"/>
      <c r="F122" s="96"/>
      <c r="G122" s="230"/>
      <c r="H122" s="96"/>
      <c r="I122" s="96">
        <f>+I111-I113-I112-I114+I115+I119+I120-I121</f>
        <v>69757958.09751299</v>
      </c>
      <c r="J122" s="8"/>
      <c r="K122" s="8"/>
    </row>
    <row r="123" spans="1:11">
      <c r="A123" s="397"/>
      <c r="B123" s="7"/>
      <c r="C123" s="8"/>
      <c r="D123" s="96"/>
      <c r="E123" s="96"/>
      <c r="F123" s="96"/>
      <c r="G123" s="230"/>
      <c r="H123" s="96"/>
      <c r="I123" s="96"/>
      <c r="J123" s="8"/>
      <c r="K123" s="8"/>
    </row>
    <row r="124" spans="1:11">
      <c r="A124" s="397">
        <f>+A122+1</f>
        <v>13</v>
      </c>
      <c r="B124" s="9" t="s">
        <v>338</v>
      </c>
      <c r="C124" s="357"/>
      <c r="D124" s="96"/>
      <c r="E124" s="96"/>
      <c r="F124" s="96"/>
      <c r="G124" s="230"/>
      <c r="H124" s="96"/>
      <c r="I124" s="96"/>
      <c r="J124" s="8"/>
      <c r="K124" s="8"/>
    </row>
    <row r="125" spans="1:11">
      <c r="A125" s="397">
        <f t="shared" si="8"/>
        <v>14</v>
      </c>
      <c r="B125" s="9" t="s">
        <v>30</v>
      </c>
      <c r="C125" s="357" t="s">
        <v>1093</v>
      </c>
      <c r="D125" s="96">
        <f>'5-P3 Support'!I12</f>
        <v>23761763</v>
      </c>
      <c r="E125" s="96"/>
      <c r="F125" s="96" t="s">
        <v>15</v>
      </c>
      <c r="G125" s="230">
        <f>+G90</f>
        <v>1</v>
      </c>
      <c r="H125" s="96"/>
      <c r="I125" s="96">
        <f>+G125*D125</f>
        <v>23761763</v>
      </c>
      <c r="J125" s="8"/>
      <c r="K125" s="196"/>
    </row>
    <row r="126" spans="1:11">
      <c r="A126" s="397">
        <f t="shared" si="8"/>
        <v>15</v>
      </c>
      <c r="B126" s="421" t="s">
        <v>764</v>
      </c>
      <c r="C126" s="357" t="s">
        <v>1094</v>
      </c>
      <c r="D126" s="96">
        <f>'5-P3 Support'!C21</f>
        <v>14965330</v>
      </c>
      <c r="E126" s="96"/>
      <c r="F126" s="96" t="s">
        <v>24</v>
      </c>
      <c r="G126" s="596">
        <f>$I$191</f>
        <v>0.1176002587197187</v>
      </c>
      <c r="H126" s="96"/>
      <c r="I126" s="96">
        <f>+G126*D126</f>
        <v>1759926.6798259679</v>
      </c>
      <c r="J126" s="8"/>
      <c r="K126" s="196"/>
    </row>
    <row r="127" spans="1:11">
      <c r="A127" s="397">
        <f t="shared" si="8"/>
        <v>16</v>
      </c>
      <c r="B127" s="421" t="s">
        <v>765</v>
      </c>
      <c r="C127" s="97" t="s">
        <v>1100</v>
      </c>
      <c r="D127" s="96">
        <f>'4D - Intangible Pnt'!G105</f>
        <v>19876262.84</v>
      </c>
      <c r="E127" s="96"/>
      <c r="F127" s="96" t="s">
        <v>81</v>
      </c>
      <c r="G127" s="230"/>
      <c r="H127" s="96"/>
      <c r="I127" s="96">
        <f>'4D - Intangible Pnt'!G107</f>
        <v>2442806.7489371728</v>
      </c>
      <c r="J127" s="8"/>
      <c r="K127" s="196"/>
    </row>
    <row r="128" spans="1:11">
      <c r="A128" s="397">
        <f t="shared" si="8"/>
        <v>17</v>
      </c>
      <c r="B128" s="9" t="s">
        <v>951</v>
      </c>
      <c r="C128" s="357" t="s">
        <v>1095</v>
      </c>
      <c r="D128" s="220">
        <f>'5-P3 Support'!J12</f>
        <v>23761593</v>
      </c>
      <c r="E128" s="220"/>
      <c r="F128" s="96" t="s">
        <v>24</v>
      </c>
      <c r="G128" s="596">
        <f>$I$191</f>
        <v>0.1176002587197187</v>
      </c>
      <c r="H128" s="220"/>
      <c r="I128" s="220">
        <f>+G128*D128</f>
        <v>2794369.4843926569</v>
      </c>
      <c r="J128" s="8"/>
      <c r="K128" s="196"/>
    </row>
    <row r="129" spans="1:12">
      <c r="A129" s="397">
        <f t="shared" si="8"/>
        <v>18</v>
      </c>
      <c r="B129" s="9" t="s">
        <v>1129</v>
      </c>
      <c r="C129" s="8" t="s">
        <v>1101</v>
      </c>
      <c r="D129" s="220">
        <f>-'4E COA'!H86</f>
        <v>-353659.35187922645</v>
      </c>
      <c r="E129" s="220"/>
      <c r="F129" s="96" t="s">
        <v>24</v>
      </c>
      <c r="G129" s="596">
        <f>G61</f>
        <v>0.1176002587197187</v>
      </c>
      <c r="H129" s="220"/>
      <c r="I129" s="220">
        <f>D129*G129</f>
        <v>-41590.431279645061</v>
      </c>
      <c r="J129" s="8"/>
      <c r="K129" s="196"/>
    </row>
    <row r="130" spans="1:12" ht="13.5" thickBot="1">
      <c r="A130" s="397">
        <f t="shared" si="8"/>
        <v>19</v>
      </c>
      <c r="B130" s="98" t="s">
        <v>97</v>
      </c>
      <c r="C130" s="8" t="s">
        <v>1096</v>
      </c>
      <c r="D130" s="99">
        <f>'5-P3 Support'!D21</f>
        <v>0</v>
      </c>
      <c r="E130" s="96"/>
      <c r="F130" s="96" t="s">
        <v>81</v>
      </c>
      <c r="G130" s="230">
        <v>1</v>
      </c>
      <c r="H130" s="96"/>
      <c r="I130" s="99">
        <f>+G130*D130</f>
        <v>0</v>
      </c>
      <c r="J130" s="8"/>
      <c r="K130" s="196"/>
    </row>
    <row r="131" spans="1:12">
      <c r="A131" s="397">
        <f t="shared" si="8"/>
        <v>20</v>
      </c>
      <c r="B131" s="9" t="s">
        <v>227</v>
      </c>
      <c r="C131" s="8" t="str">
        <f>"(Sum of Lines "&amp;A125&amp;" through "&amp;A130&amp;")"</f>
        <v>(Sum of Lines 14 through 19)</v>
      </c>
      <c r="D131" s="96">
        <f>SUM(D125:D130)</f>
        <v>82011289.488120779</v>
      </c>
      <c r="E131" s="96"/>
      <c r="F131" s="96"/>
      <c r="G131" s="230"/>
      <c r="H131" s="96"/>
      <c r="I131" s="96">
        <f>SUM(I125:I130)</f>
        <v>30717275.481876157</v>
      </c>
      <c r="J131" s="8"/>
      <c r="K131" s="8"/>
    </row>
    <row r="132" spans="1:12">
      <c r="A132" s="397"/>
      <c r="B132" s="9"/>
      <c r="C132" s="8"/>
      <c r="D132" s="96"/>
      <c r="E132" s="96"/>
      <c r="F132" s="96"/>
      <c r="G132" s="230"/>
      <c r="H132" s="96"/>
      <c r="I132" s="96"/>
      <c r="J132" s="8"/>
      <c r="K132" s="8"/>
    </row>
    <row r="133" spans="1:12">
      <c r="A133" s="397">
        <f>+A131+1</f>
        <v>21</v>
      </c>
      <c r="B133" s="9" t="s">
        <v>228</v>
      </c>
      <c r="C133" s="7" t="s">
        <v>171</v>
      </c>
      <c r="D133" s="96"/>
      <c r="E133" s="96"/>
      <c r="F133" s="96"/>
      <c r="G133" s="230"/>
      <c r="H133" s="96"/>
      <c r="I133" s="96"/>
      <c r="J133" s="8"/>
      <c r="K133" s="8"/>
    </row>
    <row r="134" spans="1:12">
      <c r="A134" s="397">
        <f t="shared" si="8"/>
        <v>22</v>
      </c>
      <c r="B134" s="9" t="s">
        <v>33</v>
      </c>
      <c r="C134" s="7"/>
      <c r="D134" s="96"/>
      <c r="E134" s="96"/>
      <c r="F134" s="96"/>
      <c r="G134" s="230"/>
      <c r="H134" s="96"/>
      <c r="I134" s="96"/>
      <c r="J134" s="8"/>
      <c r="K134" s="196"/>
    </row>
    <row r="135" spans="1:12">
      <c r="A135" s="397">
        <f t="shared" si="8"/>
        <v>23</v>
      </c>
      <c r="B135" s="9" t="s">
        <v>34</v>
      </c>
      <c r="C135" s="8" t="s">
        <v>1102</v>
      </c>
      <c r="D135" s="96">
        <f>'5-P3 Support'!E21</f>
        <v>11792061</v>
      </c>
      <c r="E135" s="96"/>
      <c r="F135" s="96" t="s">
        <v>24</v>
      </c>
      <c r="G135" s="230">
        <f>+G126</f>
        <v>0.1176002587197187</v>
      </c>
      <c r="H135" s="96"/>
      <c r="I135" s="96">
        <f>+G135*D135</f>
        <v>1386749.4244387047</v>
      </c>
      <c r="J135" s="8"/>
      <c r="K135" s="196"/>
    </row>
    <row r="136" spans="1:12">
      <c r="A136" s="397">
        <f t="shared" si="8"/>
        <v>24</v>
      </c>
      <c r="B136" s="704" t="str">
        <f>'5-P3 Support'!F15</f>
        <v>Other Payroll Related</v>
      </c>
      <c r="C136" s="8" t="s">
        <v>1103</v>
      </c>
      <c r="D136" s="96">
        <f>'5-P3 Support'!F21</f>
        <v>0</v>
      </c>
      <c r="E136" s="96"/>
      <c r="F136" s="96" t="s">
        <v>24</v>
      </c>
      <c r="G136" s="230">
        <f>+G135</f>
        <v>0.1176002587197187</v>
      </c>
      <c r="H136" s="96"/>
      <c r="I136" s="96">
        <f>+G136*D136</f>
        <v>0</v>
      </c>
      <c r="J136" s="8"/>
      <c r="K136" s="196"/>
    </row>
    <row r="137" spans="1:12">
      <c r="A137" s="397">
        <f t="shared" si="8"/>
        <v>25</v>
      </c>
      <c r="B137" s="9" t="s">
        <v>35</v>
      </c>
      <c r="C137" s="8" t="s">
        <v>2</v>
      </c>
      <c r="D137" s="96"/>
      <c r="E137" s="96"/>
      <c r="F137" s="96"/>
      <c r="G137" s="230"/>
      <c r="H137" s="96"/>
      <c r="I137" s="96"/>
      <c r="J137" s="8"/>
      <c r="K137" s="196"/>
    </row>
    <row r="138" spans="1:12">
      <c r="A138" s="397">
        <f t="shared" si="8"/>
        <v>26</v>
      </c>
      <c r="B138" s="9" t="s">
        <v>36</v>
      </c>
      <c r="C138" s="8" t="s">
        <v>1104</v>
      </c>
      <c r="D138" s="96">
        <f>'5-P3 Support'!G21</f>
        <v>10739456</v>
      </c>
      <c r="E138" s="96"/>
      <c r="F138" s="96" t="s">
        <v>29</v>
      </c>
      <c r="G138" s="230">
        <f>+G53</f>
        <v>0.19267290746414831</v>
      </c>
      <c r="H138" s="96"/>
      <c r="I138" s="96">
        <f>+G138*D138</f>
        <v>2069202.2121032923</v>
      </c>
      <c r="J138" s="8"/>
      <c r="K138" s="196"/>
    </row>
    <row r="139" spans="1:12">
      <c r="A139" s="397">
        <f t="shared" si="8"/>
        <v>27</v>
      </c>
      <c r="B139" s="9" t="s">
        <v>37</v>
      </c>
      <c r="C139" s="8" t="s">
        <v>1105</v>
      </c>
      <c r="D139" s="96">
        <f>'5-P3 Support'!H21</f>
        <v>125049113</v>
      </c>
      <c r="E139" s="96"/>
      <c r="F139" s="96" t="s">
        <v>22</v>
      </c>
      <c r="G139" s="229" t="s">
        <v>112</v>
      </c>
      <c r="H139" s="96"/>
      <c r="I139" s="96">
        <v>0</v>
      </c>
      <c r="J139" s="8"/>
      <c r="K139" s="196"/>
    </row>
    <row r="140" spans="1:12">
      <c r="A140" s="397">
        <f t="shared" si="8"/>
        <v>28</v>
      </c>
      <c r="B140" s="9" t="s">
        <v>38</v>
      </c>
      <c r="C140" s="8" t="s">
        <v>1106</v>
      </c>
      <c r="D140" s="96">
        <f>'5-P3 Support'!I21</f>
        <v>484130</v>
      </c>
      <c r="E140" s="96"/>
      <c r="F140" s="96" t="s">
        <v>29</v>
      </c>
      <c r="G140" s="230">
        <f>+G138</f>
        <v>0.19267290746414831</v>
      </c>
      <c r="H140" s="96"/>
      <c r="I140" s="96">
        <f>+G140*D140</f>
        <v>93278.734690618119</v>
      </c>
      <c r="J140" s="8"/>
      <c r="K140" s="196"/>
    </row>
    <row r="141" spans="1:12" ht="13.5" thickBot="1">
      <c r="A141" s="397">
        <f t="shared" si="8"/>
        <v>29</v>
      </c>
      <c r="B141" s="9" t="s">
        <v>759</v>
      </c>
      <c r="C141" s="8" t="s">
        <v>1107</v>
      </c>
      <c r="D141" s="99">
        <f>'5-P3 Support'!J21</f>
        <v>3262</v>
      </c>
      <c r="E141" s="96"/>
      <c r="F141" s="96" t="s">
        <v>29</v>
      </c>
      <c r="G141" s="230">
        <f>+G138</f>
        <v>0.19267290746414831</v>
      </c>
      <c r="H141" s="96"/>
      <c r="I141" s="99">
        <f>+G141*D141</f>
        <v>628.49902414805183</v>
      </c>
      <c r="J141" s="8"/>
      <c r="K141" s="196"/>
    </row>
    <row r="142" spans="1:12">
      <c r="A142" s="397">
        <f t="shared" si="8"/>
        <v>30</v>
      </c>
      <c r="B142" s="9" t="s">
        <v>229</v>
      </c>
      <c r="C142" s="8" t="str">
        <f>"(Sum of Lines "&amp;A135&amp;" through "&amp;A141&amp;")"</f>
        <v>(Sum of Lines 23 through 29)</v>
      </c>
      <c r="D142" s="96">
        <f>SUM(D135:D141)</f>
        <v>148068022</v>
      </c>
      <c r="E142" s="96"/>
      <c r="F142" s="96"/>
      <c r="G142" s="230"/>
      <c r="H142" s="96"/>
      <c r="I142" s="96">
        <f>SUM(I135:I141)</f>
        <v>3549858.8702567634</v>
      </c>
      <c r="J142" s="8"/>
      <c r="K142" s="196"/>
    </row>
    <row r="143" spans="1:12">
      <c r="A143" s="397"/>
      <c r="B143" s="9"/>
      <c r="C143" s="8"/>
      <c r="D143" s="96"/>
      <c r="E143" s="96"/>
      <c r="F143" s="96"/>
      <c r="G143" s="230"/>
      <c r="H143" s="96"/>
      <c r="I143" s="96"/>
      <c r="J143" s="8"/>
      <c r="K143" s="196"/>
    </row>
    <row r="144" spans="1:12">
      <c r="A144" s="397">
        <f>A142+1</f>
        <v>31</v>
      </c>
      <c r="B144" s="422" t="s">
        <v>690</v>
      </c>
      <c r="C144" s="117" t="s">
        <v>688</v>
      </c>
      <c r="D144" s="571">
        <v>0</v>
      </c>
      <c r="E144" s="93"/>
      <c r="F144" s="93" t="str">
        <f>+F83</f>
        <v>DA</v>
      </c>
      <c r="G144" s="596">
        <v>1</v>
      </c>
      <c r="H144" s="93"/>
      <c r="I144" s="220">
        <f>+G144*D144</f>
        <v>0</v>
      </c>
      <c r="J144" s="8"/>
      <c r="K144" s="196"/>
      <c r="L144" s="96"/>
    </row>
    <row r="145" spans="1:12">
      <c r="A145" s="397"/>
      <c r="B145" s="422"/>
      <c r="C145" s="8"/>
      <c r="D145" s="8"/>
      <c r="E145" s="8"/>
      <c r="F145" s="8"/>
      <c r="G145" s="230"/>
      <c r="H145" s="8"/>
      <c r="I145" s="8"/>
      <c r="J145" s="8"/>
      <c r="L145" s="96"/>
    </row>
    <row r="146" spans="1:12">
      <c r="A146" s="397">
        <f>A144+1</f>
        <v>32</v>
      </c>
      <c r="B146" s="9" t="s">
        <v>39</v>
      </c>
      <c r="C146" s="8" t="str">
        <f>"(Note "&amp;A$225&amp;")"</f>
        <v>(Note G)</v>
      </c>
      <c r="D146" s="8"/>
      <c r="E146" s="8"/>
      <c r="F146" s="7"/>
      <c r="G146" s="537"/>
      <c r="H146" s="8"/>
      <c r="I146" s="7"/>
      <c r="J146" s="8"/>
      <c r="L146" s="96"/>
    </row>
    <row r="147" spans="1:12">
      <c r="A147" s="397">
        <f t="shared" si="8"/>
        <v>33</v>
      </c>
      <c r="B147" s="10" t="s">
        <v>464</v>
      </c>
      <c r="C147" s="8" t="s">
        <v>841</v>
      </c>
      <c r="D147" s="108">
        <f>IF(D226&gt;0,1-(((1-D227)*(1-D226))/(1-D227*D226*D228)),0)</f>
        <v>0.41493499999999994</v>
      </c>
      <c r="E147" s="8"/>
      <c r="F147" s="7"/>
      <c r="G147" s="537"/>
      <c r="H147" s="8"/>
      <c r="I147" s="7"/>
      <c r="J147" s="8"/>
      <c r="L147" s="96"/>
    </row>
    <row r="148" spans="1:12">
      <c r="A148" s="397">
        <f t="shared" si="8"/>
        <v>34</v>
      </c>
      <c r="B148" s="7" t="s">
        <v>40</v>
      </c>
      <c r="C148" s="8" t="s">
        <v>1135</v>
      </c>
      <c r="D148" s="108">
        <f>IF(I197&gt;0,(D147/(1-D147))*(1-I197/I200),0)</f>
        <v>0.53459985049675773</v>
      </c>
      <c r="E148" s="8"/>
      <c r="F148" s="7"/>
      <c r="G148" s="537"/>
      <c r="H148" s="8"/>
      <c r="I148" s="7"/>
      <c r="J148" s="8"/>
      <c r="K148" s="7"/>
    </row>
    <row r="149" spans="1:12">
      <c r="A149" s="397">
        <f t="shared" si="8"/>
        <v>35</v>
      </c>
      <c r="B149" s="9" t="s">
        <v>253</v>
      </c>
      <c r="C149" s="8" t="s">
        <v>254</v>
      </c>
      <c r="D149" s="8"/>
      <c r="E149" s="8"/>
      <c r="F149" s="7"/>
      <c r="G149" s="537"/>
      <c r="H149" s="8"/>
      <c r="I149" s="7"/>
      <c r="J149" s="8"/>
      <c r="K149" s="7"/>
    </row>
    <row r="150" spans="1:12">
      <c r="A150" s="397">
        <f t="shared" si="8"/>
        <v>36</v>
      </c>
      <c r="B150" s="9"/>
      <c r="D150" s="8"/>
      <c r="E150" s="8"/>
      <c r="F150" s="7"/>
      <c r="G150" s="537"/>
      <c r="H150" s="8"/>
      <c r="I150" s="7"/>
      <c r="J150" s="8"/>
      <c r="K150" s="7"/>
    </row>
    <row r="151" spans="1:12">
      <c r="A151" s="397">
        <f>+A150+1</f>
        <v>37</v>
      </c>
      <c r="B151" s="10" t="str">
        <f>"      1 / (1 - T)  =  (T from line "&amp;A147&amp;")"</f>
        <v xml:space="preserve">      1 / (1 - T)  =  (T from line 33)</v>
      </c>
      <c r="C151" s="8"/>
      <c r="D151" s="108">
        <f>IF(D118=0,0,1/(1-D147))</f>
        <v>1.7092117969798226</v>
      </c>
      <c r="E151" s="8"/>
      <c r="F151" s="7"/>
      <c r="G151" s="537"/>
      <c r="H151" s="8"/>
      <c r="I151" s="96"/>
      <c r="J151" s="8"/>
      <c r="K151" s="7"/>
    </row>
    <row r="152" spans="1:12">
      <c r="A152" s="813">
        <f t="shared" si="8"/>
        <v>38</v>
      </c>
      <c r="B152" s="9" t="s">
        <v>247</v>
      </c>
      <c r="C152" s="8" t="s">
        <v>1110</v>
      </c>
      <c r="D152" s="96">
        <f>-'5-P3 Support'!K21</f>
        <v>-5342.5814940355485</v>
      </c>
      <c r="E152" s="8"/>
      <c r="F152" s="7"/>
      <c r="G152" s="537"/>
      <c r="H152" s="8"/>
      <c r="I152" s="96"/>
      <c r="J152" s="8"/>
      <c r="K152" s="7"/>
    </row>
    <row r="153" spans="1:12">
      <c r="A153" s="397">
        <f t="shared" si="8"/>
        <v>39</v>
      </c>
      <c r="B153" s="9" t="s">
        <v>248</v>
      </c>
      <c r="C153" s="8" t="s">
        <v>1108</v>
      </c>
      <c r="D153" s="96">
        <f>-'5-P3 Support'!L21</f>
        <v>0</v>
      </c>
      <c r="E153" s="8"/>
      <c r="F153" s="7"/>
      <c r="G153" s="596"/>
      <c r="H153" s="8"/>
      <c r="I153" s="96"/>
      <c r="J153" s="8"/>
      <c r="K153" s="7"/>
    </row>
    <row r="154" spans="1:12">
      <c r="A154" s="397">
        <f t="shared" si="8"/>
        <v>40</v>
      </c>
      <c r="B154" s="9" t="s">
        <v>299</v>
      </c>
      <c r="C154" s="8" t="s">
        <v>1109</v>
      </c>
      <c r="D154" s="96">
        <f>'5-P3 Support'!M21</f>
        <v>356305.2305774226</v>
      </c>
      <c r="E154" s="8"/>
      <c r="F154" s="7"/>
      <c r="G154" s="537"/>
      <c r="H154" s="8"/>
      <c r="I154" s="96"/>
      <c r="J154" s="8"/>
      <c r="K154" s="7"/>
    </row>
    <row r="155" spans="1:12">
      <c r="A155" s="397">
        <f t="shared" si="8"/>
        <v>41</v>
      </c>
      <c r="B155" s="10" t="s">
        <v>249</v>
      </c>
      <c r="C155" s="11" t="str">
        <f>"(Line "&amp;A148&amp;" times Line "&amp;A162&amp;")"</f>
        <v>(Line 34 times Line 47)</v>
      </c>
      <c r="D155" s="100">
        <f>+D148*D162</f>
        <v>239120943.22340026</v>
      </c>
      <c r="E155" s="97"/>
      <c r="F155" s="97" t="s">
        <v>22</v>
      </c>
      <c r="G155" s="230"/>
      <c r="H155" s="97"/>
      <c r="I155" s="100">
        <f>+D148*I162</f>
        <v>37031509.077565484</v>
      </c>
      <c r="J155" s="8"/>
      <c r="K155" s="389" t="s">
        <v>2</v>
      </c>
    </row>
    <row r="156" spans="1:12">
      <c r="A156" s="397">
        <f t="shared" si="8"/>
        <v>42</v>
      </c>
      <c r="B156" s="7" t="s">
        <v>250</v>
      </c>
      <c r="C156" s="11" t="str">
        <f>"(Line "&amp;A151&amp;" times Line "&amp;A152&amp;")"</f>
        <v>(Line 37 times Line 38)</v>
      </c>
      <c r="D156" s="100">
        <f>+D$151*D152</f>
        <v>-9131.6033159316448</v>
      </c>
      <c r="E156" s="97"/>
      <c r="F156" s="425" t="s">
        <v>15</v>
      </c>
      <c r="G156" s="230">
        <v>1</v>
      </c>
      <c r="H156" s="97"/>
      <c r="I156" s="100">
        <f>+G156*D156</f>
        <v>-9131.6033159316448</v>
      </c>
      <c r="J156" s="8"/>
      <c r="K156" s="389"/>
    </row>
    <row r="157" spans="1:12">
      <c r="A157" s="397">
        <f t="shared" si="8"/>
        <v>43</v>
      </c>
      <c r="B157" s="7" t="s">
        <v>251</v>
      </c>
      <c r="C157" s="11" t="str">
        <f>"(Line "&amp;A151&amp;" times Line "&amp;A153&amp;")"</f>
        <v>(Line 37 times Line 39)</v>
      </c>
      <c r="D157" s="100">
        <f>+D$151*D153</f>
        <v>0</v>
      </c>
      <c r="E157" s="97"/>
      <c r="F157" s="425" t="s">
        <v>28</v>
      </c>
      <c r="G157" s="230">
        <v>1</v>
      </c>
      <c r="H157" s="97"/>
      <c r="I157" s="100">
        <f>+G157*D157</f>
        <v>0</v>
      </c>
      <c r="J157" s="8"/>
      <c r="K157" s="389"/>
    </row>
    <row r="158" spans="1:12" ht="13.5" thickBot="1">
      <c r="A158" s="397">
        <f t="shared" si="8"/>
        <v>44</v>
      </c>
      <c r="B158" s="7" t="s">
        <v>115</v>
      </c>
      <c r="C158" s="11" t="str">
        <f>"(Line "&amp;A151&amp;" times Line "&amp;A154&amp;")"</f>
        <v>(Line 37 times Line 40)</v>
      </c>
      <c r="D158" s="100">
        <f>+D$151*D154</f>
        <v>609001.10342854657</v>
      </c>
      <c r="E158" s="97"/>
      <c r="F158" s="425" t="s">
        <v>15</v>
      </c>
      <c r="G158" s="230">
        <v>1</v>
      </c>
      <c r="H158" s="97"/>
      <c r="I158" s="426">
        <f>+G158*D158</f>
        <v>609001.10342854657</v>
      </c>
      <c r="J158" s="8"/>
      <c r="K158" s="389"/>
    </row>
    <row r="159" spans="1:12">
      <c r="A159" s="397">
        <f t="shared" si="8"/>
        <v>45</v>
      </c>
      <c r="B159" s="12" t="s">
        <v>252</v>
      </c>
      <c r="C159" s="7" t="str">
        <f>"(Sum of Lines "&amp;A155&amp;" through "&amp;A158&amp;")"</f>
        <v>(Sum of Lines 41 through 44)</v>
      </c>
      <c r="D159" s="100">
        <f>SUM(D155:D158)</f>
        <v>239720812.72351289</v>
      </c>
      <c r="E159" s="97"/>
      <c r="F159" s="97" t="s">
        <v>2</v>
      </c>
      <c r="G159" s="424" t="s">
        <v>2</v>
      </c>
      <c r="H159" s="97"/>
      <c r="I159" s="100">
        <f>SUM(I155:I158)</f>
        <v>37631378.577678099</v>
      </c>
      <c r="J159" s="8"/>
      <c r="K159" s="8"/>
    </row>
    <row r="160" spans="1:12">
      <c r="A160" s="397"/>
      <c r="B160" s="7"/>
      <c r="C160" s="427"/>
      <c r="D160" s="96"/>
      <c r="E160" s="8"/>
      <c r="F160" s="8"/>
      <c r="G160" s="423"/>
      <c r="H160" s="8"/>
      <c r="I160" s="96"/>
      <c r="J160" s="8"/>
      <c r="K160" s="8"/>
    </row>
    <row r="161" spans="1:11">
      <c r="A161" s="397">
        <f>+A159+1</f>
        <v>46</v>
      </c>
      <c r="B161" s="9" t="s">
        <v>42</v>
      </c>
      <c r="J161" s="8"/>
      <c r="K161" s="7"/>
    </row>
    <row r="162" spans="1:11">
      <c r="A162" s="397">
        <f>A161+1</f>
        <v>47</v>
      </c>
      <c r="B162" s="12" t="s">
        <v>309</v>
      </c>
      <c r="C162" s="10" t="s">
        <v>1134</v>
      </c>
      <c r="D162" s="96">
        <f>+$I200*D98</f>
        <v>447289581.17217147</v>
      </c>
      <c r="E162" s="97"/>
      <c r="F162" s="97" t="s">
        <v>22</v>
      </c>
      <c r="G162" s="428"/>
      <c r="H162" s="97"/>
      <c r="I162" s="96">
        <f>+$I200*I98</f>
        <v>69269583.676754266</v>
      </c>
      <c r="K162" s="196"/>
    </row>
    <row r="163" spans="1:11">
      <c r="A163" s="397"/>
      <c r="B163" s="9"/>
      <c r="C163" s="7"/>
      <c r="D163" s="220"/>
      <c r="E163" s="97"/>
      <c r="F163" s="97"/>
      <c r="G163" s="428"/>
      <c r="H163" s="97"/>
      <c r="I163" s="220"/>
      <c r="J163" s="8"/>
      <c r="K163" s="196"/>
    </row>
    <row r="164" spans="1:11" ht="13.5" thickBot="1">
      <c r="A164" s="397">
        <f>A162+1</f>
        <v>48</v>
      </c>
      <c r="B164" s="9" t="s">
        <v>255</v>
      </c>
      <c r="C164" s="8" t="str">
        <f>"(Sum of Lines "&amp;A122&amp;", "&amp;A131&amp;", "&amp;A142&amp;", "&amp;A144&amp;", "&amp;A159&amp;", "&amp;A162&amp;")"</f>
        <v>(Sum of Lines 12, 20, 30, 31, 45, 47)</v>
      </c>
      <c r="D164" s="429">
        <f>+D162+D159+D142+D131+D122+D144</f>
        <v>1155301653.7070854</v>
      </c>
      <c r="E164" s="97"/>
      <c r="F164" s="97"/>
      <c r="G164" s="101"/>
      <c r="H164" s="97"/>
      <c r="I164" s="429">
        <f>+I162+I159+I142+I131+I122+I144</f>
        <v>210926054.70407829</v>
      </c>
      <c r="J164" s="83"/>
      <c r="K164" s="83"/>
    </row>
    <row r="165" spans="1:11" ht="1.1499999999999999" customHeight="1" thickTop="1">
      <c r="A165" s="397"/>
      <c r="B165" s="9"/>
      <c r="C165" s="8"/>
      <c r="D165" s="101"/>
      <c r="E165" s="97"/>
      <c r="F165" s="97"/>
      <c r="G165" s="101"/>
      <c r="H165" s="97"/>
      <c r="I165" s="220"/>
      <c r="J165" s="83"/>
      <c r="K165" s="83"/>
    </row>
    <row r="166" spans="1:11">
      <c r="A166" s="397"/>
      <c r="B166" s="430"/>
      <c r="C166" s="97"/>
      <c r="D166" s="101"/>
      <c r="E166" s="101"/>
      <c r="F166" s="101"/>
      <c r="G166" s="101"/>
      <c r="H166" s="101"/>
      <c r="I166" s="101"/>
      <c r="J166" s="83"/>
      <c r="K166" s="83"/>
    </row>
    <row r="167" spans="1:11">
      <c r="A167" s="195"/>
      <c r="B167" s="7"/>
      <c r="C167" s="7"/>
      <c r="D167" s="7"/>
      <c r="E167" s="7"/>
      <c r="F167" s="7"/>
      <c r="G167" s="7"/>
      <c r="H167" s="7"/>
      <c r="I167" s="7"/>
      <c r="J167" s="8"/>
      <c r="K167" s="418" t="s">
        <v>116</v>
      </c>
    </row>
    <row r="168" spans="1:11">
      <c r="A168" s="195"/>
      <c r="B168" s="7"/>
      <c r="C168" s="7"/>
      <c r="D168" s="7"/>
      <c r="E168" s="7"/>
      <c r="F168" s="7"/>
      <c r="G168" s="7"/>
      <c r="H168" s="7"/>
      <c r="I168" s="7"/>
      <c r="J168" s="8"/>
      <c r="K168" s="8"/>
    </row>
    <row r="169" spans="1:11">
      <c r="A169" s="195"/>
      <c r="B169" s="9" t="s">
        <v>1</v>
      </c>
      <c r="C169" s="7"/>
      <c r="D169" s="109" t="s">
        <v>77</v>
      </c>
      <c r="E169" s="7"/>
      <c r="F169" s="7"/>
      <c r="G169" s="7"/>
      <c r="H169" s="7"/>
      <c r="I169" s="18"/>
      <c r="J169" s="8"/>
      <c r="K169" s="431" t="str">
        <f>K3</f>
        <v>For  the 12 months ended 12/31/2017</v>
      </c>
    </row>
    <row r="170" spans="1:11">
      <c r="A170" s="195"/>
      <c r="B170" s="9"/>
      <c r="C170" s="7"/>
      <c r="D170" s="109" t="s">
        <v>104</v>
      </c>
      <c r="E170" s="7"/>
      <c r="F170" s="7"/>
      <c r="G170" s="7"/>
      <c r="H170" s="7"/>
      <c r="I170" s="7"/>
      <c r="J170" s="8"/>
      <c r="K170" s="8"/>
    </row>
    <row r="171" spans="1:11">
      <c r="A171" s="195"/>
      <c r="B171" s="7"/>
      <c r="C171" s="7"/>
      <c r="D171" s="109" t="str">
        <f>+D105</f>
        <v>PECO Energy Company</v>
      </c>
      <c r="E171" s="7"/>
      <c r="F171" s="7"/>
      <c r="G171" s="7"/>
      <c r="H171" s="7"/>
      <c r="I171" s="7"/>
      <c r="J171" s="8"/>
      <c r="K171" s="8"/>
    </row>
    <row r="172" spans="1:11">
      <c r="A172" s="974"/>
      <c r="B172" s="974"/>
      <c r="C172" s="974"/>
      <c r="D172" s="974"/>
      <c r="E172" s="974"/>
      <c r="F172" s="974"/>
      <c r="G172" s="974"/>
      <c r="H172" s="974"/>
      <c r="I172" s="974"/>
      <c r="J172" s="974"/>
      <c r="K172" s="974"/>
    </row>
    <row r="173" spans="1:11" s="434" customFormat="1">
      <c r="A173" s="432"/>
      <c r="B173" s="225" t="s">
        <v>3</v>
      </c>
      <c r="C173" s="225" t="s">
        <v>4</v>
      </c>
      <c r="D173" s="225" t="s">
        <v>5</v>
      </c>
      <c r="E173" s="8" t="s">
        <v>2</v>
      </c>
      <c r="F173" s="8"/>
      <c r="G173" s="107" t="s">
        <v>6</v>
      </c>
      <c r="H173" s="8"/>
      <c r="I173" s="107" t="s">
        <v>7</v>
      </c>
      <c r="J173" s="433"/>
      <c r="K173" s="433"/>
    </row>
    <row r="174" spans="1:11">
      <c r="A174" s="195"/>
      <c r="B174" s="7"/>
      <c r="C174" s="9"/>
      <c r="D174" s="9"/>
      <c r="E174" s="9"/>
      <c r="F174" s="9"/>
      <c r="G174" s="9"/>
      <c r="H174" s="9"/>
      <c r="I174" s="9"/>
      <c r="J174" s="9"/>
      <c r="K174" s="9"/>
    </row>
    <row r="175" spans="1:11">
      <c r="A175" s="195"/>
      <c r="B175" s="7"/>
      <c r="C175" s="407" t="s">
        <v>43</v>
      </c>
      <c r="D175" s="7"/>
      <c r="E175" s="83"/>
      <c r="F175" s="83"/>
      <c r="G175" s="83"/>
      <c r="H175" s="83"/>
      <c r="I175" s="83"/>
      <c r="J175" s="8"/>
      <c r="K175" s="8"/>
    </row>
    <row r="176" spans="1:11">
      <c r="A176" s="195" t="s">
        <v>8</v>
      </c>
      <c r="B176" s="407"/>
      <c r="C176" s="83"/>
      <c r="D176" s="83"/>
      <c r="E176" s="83"/>
      <c r="F176" s="83"/>
      <c r="G176" s="83"/>
      <c r="H176" s="83"/>
      <c r="I176" s="83"/>
      <c r="J176" s="8"/>
      <c r="K176" s="8"/>
    </row>
    <row r="177" spans="1:11" ht="13.5" thickBot="1">
      <c r="A177" s="379" t="s">
        <v>10</v>
      </c>
      <c r="B177" s="82" t="s">
        <v>44</v>
      </c>
      <c r="C177" s="83"/>
      <c r="D177" s="83"/>
      <c r="E177" s="83"/>
      <c r="F177" s="83"/>
      <c r="G177" s="83"/>
      <c r="H177" s="7"/>
      <c r="I177" s="7"/>
      <c r="J177" s="8"/>
      <c r="K177" s="8"/>
    </row>
    <row r="178" spans="1:11">
      <c r="A178" s="195">
        <v>1</v>
      </c>
      <c r="B178" s="222" t="s">
        <v>241</v>
      </c>
      <c r="C178" s="83" t="s">
        <v>319</v>
      </c>
      <c r="D178" s="8"/>
      <c r="E178" s="8"/>
      <c r="F178" s="8"/>
      <c r="G178" s="8"/>
      <c r="H178" s="8"/>
      <c r="I178" s="96">
        <f>D47</f>
        <v>1492071224.8461537</v>
      </c>
      <c r="J178" s="8"/>
      <c r="K178" s="8"/>
    </row>
    <row r="179" spans="1:11">
      <c r="A179" s="195">
        <f>+A178+1</f>
        <v>2</v>
      </c>
      <c r="B179" s="222" t="s">
        <v>760</v>
      </c>
      <c r="C179" s="7" t="s">
        <v>239</v>
      </c>
      <c r="D179" s="7"/>
      <c r="E179" s="7"/>
      <c r="F179" s="7"/>
      <c r="G179" s="7"/>
      <c r="H179" s="7"/>
      <c r="I179" s="569">
        <v>0</v>
      </c>
      <c r="J179" s="8"/>
      <c r="K179" s="8"/>
    </row>
    <row r="180" spans="1:11" ht="13.5" thickBot="1">
      <c r="A180" s="195">
        <f>+A179+1</f>
        <v>3</v>
      </c>
      <c r="B180" s="102" t="s">
        <v>242</v>
      </c>
      <c r="C180" s="103" t="s">
        <v>240</v>
      </c>
      <c r="D180" s="18"/>
      <c r="E180" s="8"/>
      <c r="F180" s="8"/>
      <c r="G180" s="104"/>
      <c r="H180" s="8"/>
      <c r="I180" s="589">
        <v>0</v>
      </c>
      <c r="J180" s="8"/>
      <c r="K180" s="8"/>
    </row>
    <row r="181" spans="1:11">
      <c r="A181" s="195">
        <f t="shared" ref="A181:A191" si="9">+A180+1</f>
        <v>4</v>
      </c>
      <c r="B181" s="222" t="s">
        <v>761</v>
      </c>
      <c r="C181" s="83" t="s">
        <v>243</v>
      </c>
      <c r="D181" s="8"/>
      <c r="E181" s="8"/>
      <c r="F181" s="8"/>
      <c r="G181" s="104"/>
      <c r="H181" s="8"/>
      <c r="I181" s="96">
        <f>I178-I179-I180</f>
        <v>1492071224.8461537</v>
      </c>
      <c r="J181" s="8"/>
      <c r="K181" s="8"/>
    </row>
    <row r="182" spans="1:11">
      <c r="A182" s="195"/>
      <c r="B182" s="7"/>
      <c r="C182" s="83"/>
      <c r="D182" s="8"/>
      <c r="E182" s="8"/>
      <c r="F182" s="8"/>
      <c r="G182" s="104"/>
      <c r="H182" s="8"/>
      <c r="I182" s="96"/>
      <c r="J182" s="8"/>
      <c r="K182" s="8"/>
    </row>
    <row r="183" spans="1:11">
      <c r="A183" s="195">
        <f>+A181+1</f>
        <v>5</v>
      </c>
      <c r="B183" s="222" t="s">
        <v>762</v>
      </c>
      <c r="C183" s="105" t="s">
        <v>244</v>
      </c>
      <c r="D183" s="106"/>
      <c r="E183" s="106"/>
      <c r="F183" s="106"/>
      <c r="G183" s="107"/>
      <c r="H183" s="8" t="s">
        <v>45</v>
      </c>
      <c r="I183" s="229">
        <f>IF(I178&gt;0,I181/I178,0)</f>
        <v>1</v>
      </c>
      <c r="J183" s="8"/>
      <c r="K183" s="8"/>
    </row>
    <row r="184" spans="1:11">
      <c r="A184" s="195"/>
      <c r="B184" s="7"/>
      <c r="C184" s="7"/>
      <c r="D184" s="7"/>
      <c r="E184" s="7"/>
      <c r="F184" s="7"/>
      <c r="G184" s="7"/>
      <c r="H184" s="7"/>
      <c r="I184" s="7"/>
      <c r="J184" s="7"/>
      <c r="K184" s="7"/>
    </row>
    <row r="185" spans="1:11">
      <c r="A185" s="195">
        <f>+A183+1</f>
        <v>6</v>
      </c>
      <c r="B185" s="9" t="s">
        <v>117</v>
      </c>
      <c r="C185" s="8"/>
      <c r="D185" s="8"/>
      <c r="E185" s="8"/>
      <c r="F185" s="8"/>
      <c r="G185" s="8"/>
      <c r="H185" s="8"/>
      <c r="I185" s="8"/>
      <c r="J185" s="8"/>
      <c r="K185" s="8"/>
    </row>
    <row r="186" spans="1:11" ht="13.5" thickBot="1">
      <c r="A186" s="195"/>
      <c r="B186" s="9"/>
      <c r="C186" s="435" t="s">
        <v>46</v>
      </c>
      <c r="D186" s="436" t="s">
        <v>47</v>
      </c>
      <c r="E186" s="436" t="s">
        <v>15</v>
      </c>
      <c r="F186" s="8"/>
      <c r="G186" s="436" t="s">
        <v>48</v>
      </c>
      <c r="H186" s="8"/>
      <c r="I186" s="8"/>
      <c r="J186" s="8"/>
      <c r="K186" s="8"/>
    </row>
    <row r="187" spans="1:11">
      <c r="A187" s="195">
        <f>+A185+1</f>
        <v>7</v>
      </c>
      <c r="B187" s="9" t="s">
        <v>879</v>
      </c>
      <c r="C187" s="8" t="s">
        <v>49</v>
      </c>
      <c r="D187" s="569">
        <v>0</v>
      </c>
      <c r="E187" s="612">
        <v>0</v>
      </c>
      <c r="F187" s="437"/>
      <c r="G187" s="96">
        <f>D187*E187</f>
        <v>0</v>
      </c>
      <c r="H187" s="97"/>
      <c r="I187" s="97"/>
      <c r="J187" s="8"/>
      <c r="K187" s="8"/>
    </row>
    <row r="188" spans="1:11">
      <c r="A188" s="195">
        <f t="shared" si="9"/>
        <v>8</v>
      </c>
      <c r="B188" s="9" t="s">
        <v>876</v>
      </c>
      <c r="C188" s="8" t="s">
        <v>288</v>
      </c>
      <c r="D188" s="569">
        <v>15099686</v>
      </c>
      <c r="E188" s="612">
        <f>+I183</f>
        <v>1</v>
      </c>
      <c r="F188" s="437"/>
      <c r="G188" s="96">
        <f>D188*E188</f>
        <v>15099686</v>
      </c>
      <c r="H188" s="97"/>
      <c r="I188" s="97"/>
      <c r="J188" s="8"/>
      <c r="K188" s="8"/>
    </row>
    <row r="189" spans="1:11">
      <c r="A189" s="195">
        <f t="shared" si="9"/>
        <v>9</v>
      </c>
      <c r="B189" s="9" t="s">
        <v>877</v>
      </c>
      <c r="C189" s="8" t="s">
        <v>100</v>
      </c>
      <c r="D189" s="569">
        <v>79576225</v>
      </c>
      <c r="E189" s="612">
        <v>0</v>
      </c>
      <c r="F189" s="437"/>
      <c r="G189" s="96">
        <f>D189*E189</f>
        <v>0</v>
      </c>
      <c r="H189" s="97"/>
      <c r="I189" s="438" t="s">
        <v>50</v>
      </c>
      <c r="J189" s="8"/>
      <c r="K189" s="8"/>
    </row>
    <row r="190" spans="1:11" ht="13.5" thickBot="1">
      <c r="A190" s="195">
        <f t="shared" si="9"/>
        <v>10</v>
      </c>
      <c r="B190" s="9" t="s">
        <v>878</v>
      </c>
      <c r="C190" s="8" t="s">
        <v>289</v>
      </c>
      <c r="D190" s="589">
        <f>31824098+1316181+582218</f>
        <v>33722497</v>
      </c>
      <c r="E190" s="612">
        <v>0</v>
      </c>
      <c r="F190" s="437"/>
      <c r="G190" s="99">
        <f>D190*E190</f>
        <v>0</v>
      </c>
      <c r="H190" s="97"/>
      <c r="I190" s="439" t="s">
        <v>51</v>
      </c>
      <c r="J190" s="8"/>
      <c r="K190" s="8"/>
    </row>
    <row r="191" spans="1:11">
      <c r="A191" s="195">
        <f t="shared" si="9"/>
        <v>11</v>
      </c>
      <c r="B191" s="9" t="s">
        <v>397</v>
      </c>
      <c r="C191" s="8" t="s">
        <v>245</v>
      </c>
      <c r="D191" s="96">
        <f>SUM(D187:D190)</f>
        <v>128398408</v>
      </c>
      <c r="E191" s="8"/>
      <c r="F191" s="8"/>
      <c r="G191" s="96">
        <f>SUM(G187:G190)</f>
        <v>15099686</v>
      </c>
      <c r="H191" s="440" t="s">
        <v>52</v>
      </c>
      <c r="I191" s="230">
        <f>IF(G191&gt;0,G191/D191,0)</f>
        <v>0.1176002587197187</v>
      </c>
      <c r="J191" s="104" t="s">
        <v>52</v>
      </c>
      <c r="K191" s="8" t="s">
        <v>53</v>
      </c>
    </row>
    <row r="192" spans="1:11">
      <c r="A192" s="195"/>
      <c r="B192" s="9" t="s">
        <v>2</v>
      </c>
      <c r="C192" s="8" t="s">
        <v>2</v>
      </c>
      <c r="D192" s="7"/>
      <c r="E192" s="8"/>
      <c r="F192" s="8"/>
      <c r="G192" s="7"/>
      <c r="H192" s="7"/>
      <c r="I192" s="7"/>
      <c r="J192" s="7"/>
      <c r="K192" s="8"/>
    </row>
    <row r="194" spans="1:11" ht="13.5" thickBot="1">
      <c r="A194" s="195">
        <f>A191+1</f>
        <v>12</v>
      </c>
      <c r="B194" s="82" t="s">
        <v>54</v>
      </c>
      <c r="C194" s="8" t="s">
        <v>265</v>
      </c>
      <c r="D194" s="8"/>
      <c r="E194" s="8"/>
      <c r="F194" s="8"/>
      <c r="G194" s="8"/>
      <c r="H194" s="8"/>
      <c r="I194" s="436" t="s">
        <v>47</v>
      </c>
      <c r="J194" s="8"/>
      <c r="K194" s="8"/>
    </row>
    <row r="195" spans="1:11">
      <c r="A195" s="195">
        <f t="shared" ref="A195:A200" si="10">+A194+1</f>
        <v>13</v>
      </c>
      <c r="B195" s="9"/>
      <c r="C195" s="8"/>
      <c r="D195" s="8"/>
      <c r="E195" s="8"/>
      <c r="F195" s="8"/>
      <c r="G195" s="104" t="s">
        <v>55</v>
      </c>
      <c r="H195" s="8"/>
      <c r="I195" s="8"/>
      <c r="J195" s="8"/>
      <c r="K195" s="8"/>
    </row>
    <row r="196" spans="1:11" ht="13.5" thickBot="1">
      <c r="A196" s="195">
        <f t="shared" si="10"/>
        <v>14</v>
      </c>
      <c r="B196" s="9"/>
      <c r="C196" s="8"/>
      <c r="D196" s="379" t="s">
        <v>47</v>
      </c>
      <c r="E196" s="379" t="s">
        <v>56</v>
      </c>
      <c r="F196" s="8"/>
      <c r="G196" s="109" t="str">
        <f>"(Notes "&amp;A233&amp;", "&amp;A239&amp;", &amp; "&amp;A240&amp;")"</f>
        <v>(Notes K, Q, &amp; R)</v>
      </c>
      <c r="H196" s="8"/>
      <c r="I196" s="379" t="s">
        <v>57</v>
      </c>
      <c r="J196" s="8"/>
      <c r="K196" s="8"/>
    </row>
    <row r="197" spans="1:11">
      <c r="A197" s="195">
        <f t="shared" si="10"/>
        <v>15</v>
      </c>
      <c r="B197" s="82" t="s">
        <v>246</v>
      </c>
      <c r="C197" s="7" t="s">
        <v>842</v>
      </c>
      <c r="D197" s="110">
        <f>+'5-P3 Support'!F42</f>
        <v>2884418609</v>
      </c>
      <c r="E197" s="537">
        <f>+'5-P3 Support'!G42</f>
        <v>0.45083167862368689</v>
      </c>
      <c r="F197" s="84"/>
      <c r="G197" s="229">
        <f>+'5-P3 Support'!I42</f>
        <v>4.3765193999967013E-2</v>
      </c>
      <c r="H197" s="230"/>
      <c r="I197" s="537">
        <f>+'5-P3 Support'!K42</f>
        <v>1.9730735876296437E-2</v>
      </c>
      <c r="J197" s="380" t="s">
        <v>58</v>
      </c>
      <c r="K197" s="7"/>
    </row>
    <row r="198" spans="1:11">
      <c r="A198" s="195">
        <f t="shared" si="10"/>
        <v>16</v>
      </c>
      <c r="B198" s="82" t="s">
        <v>118</v>
      </c>
      <c r="C198" s="7" t="s">
        <v>843</v>
      </c>
      <c r="D198" s="110">
        <f>+'5-P3 Support'!F43</f>
        <v>0</v>
      </c>
      <c r="E198" s="537">
        <f>+'5-P3 Support'!G43</f>
        <v>0</v>
      </c>
      <c r="F198" s="84"/>
      <c r="G198" s="229">
        <f>+'5-P3 Support'!I43</f>
        <v>0</v>
      </c>
      <c r="H198" s="230"/>
      <c r="I198" s="537">
        <f>+'5-P3 Support'!K43</f>
        <v>0</v>
      </c>
      <c r="J198" s="8"/>
      <c r="K198" s="7"/>
    </row>
    <row r="199" spans="1:11" ht="13.5" thickBot="1">
      <c r="A199" s="195">
        <f t="shared" si="10"/>
        <v>17</v>
      </c>
      <c r="B199" s="82" t="s">
        <v>297</v>
      </c>
      <c r="C199" s="7" t="s">
        <v>844</v>
      </c>
      <c r="D199" s="183">
        <f>+'5-P3 Support'!F44</f>
        <v>3513575910.3861351</v>
      </c>
      <c r="E199" s="595">
        <f>+'5-P3 Support'!G44</f>
        <v>0.54916832137631311</v>
      </c>
      <c r="F199" s="227"/>
      <c r="G199" s="229">
        <f>+'5-P3 Support'!I44</f>
        <v>0.11</v>
      </c>
      <c r="H199" s="230"/>
      <c r="I199" s="595">
        <f>+'5-P3 Support'!K44</f>
        <v>6.0408515351394444E-2</v>
      </c>
      <c r="J199" s="8"/>
      <c r="K199" s="7"/>
    </row>
    <row r="200" spans="1:11">
      <c r="A200" s="195">
        <f t="shared" si="10"/>
        <v>18</v>
      </c>
      <c r="B200" s="9" t="s">
        <v>238</v>
      </c>
      <c r="C200" s="7" t="s">
        <v>1111</v>
      </c>
      <c r="D200" s="110">
        <f>+'5-P3 Support'!F45</f>
        <v>6397994519.3861351</v>
      </c>
      <c r="E200" s="8" t="s">
        <v>2</v>
      </c>
      <c r="F200" s="8"/>
      <c r="G200" s="230"/>
      <c r="H200" s="230"/>
      <c r="I200" s="537">
        <f>+'5-P3 Support'!K45</f>
        <v>8.0139251227690889E-2</v>
      </c>
      <c r="J200" s="380" t="s">
        <v>59</v>
      </c>
      <c r="K200" s="7"/>
    </row>
    <row r="206" spans="1:11">
      <c r="A206" s="195"/>
      <c r="B206" s="383"/>
      <c r="C206" s="195"/>
      <c r="D206" s="8"/>
      <c r="E206" s="8"/>
      <c r="F206" s="8"/>
      <c r="G206" s="8"/>
      <c r="H206" s="222"/>
      <c r="I206" s="113"/>
      <c r="J206" s="112"/>
      <c r="K206" s="112"/>
    </row>
    <row r="207" spans="1:11">
      <c r="A207" s="195"/>
      <c r="B207" s="383"/>
      <c r="C207" s="195"/>
      <c r="D207" s="8"/>
      <c r="E207" s="8"/>
      <c r="F207" s="8"/>
      <c r="G207" s="8"/>
      <c r="H207" s="222"/>
      <c r="I207" s="113"/>
      <c r="J207" s="112"/>
      <c r="K207" s="112"/>
    </row>
    <row r="208" spans="1:11">
      <c r="A208" s="195"/>
      <c r="B208" s="9"/>
      <c r="C208" s="83"/>
      <c r="D208" s="8"/>
      <c r="E208" s="8"/>
      <c r="F208" s="8"/>
      <c r="G208" s="8"/>
      <c r="H208" s="83"/>
      <c r="I208" s="8"/>
      <c r="J208" s="83"/>
      <c r="K208" s="418" t="s">
        <v>119</v>
      </c>
    </row>
    <row r="209" spans="1:12">
      <c r="A209" s="195"/>
      <c r="B209" s="9"/>
      <c r="C209" s="83"/>
      <c r="D209" s="8"/>
      <c r="E209" s="8"/>
      <c r="F209" s="8"/>
      <c r="G209" s="8"/>
      <c r="H209" s="83"/>
      <c r="I209" s="8"/>
      <c r="J209" s="83"/>
      <c r="K209" s="8"/>
    </row>
    <row r="210" spans="1:12">
      <c r="A210" s="195"/>
      <c r="B210" s="383" t="s">
        <v>1</v>
      </c>
      <c r="C210" s="195"/>
      <c r="D210" s="104" t="s">
        <v>77</v>
      </c>
      <c r="E210" s="8"/>
      <c r="F210" s="8"/>
      <c r="G210" s="8"/>
      <c r="H210" s="222"/>
      <c r="I210" s="18"/>
      <c r="J210" s="111"/>
      <c r="K210" s="441" t="str">
        <f>K3</f>
        <v>For  the 12 months ended 12/31/2017</v>
      </c>
    </row>
    <row r="211" spans="1:12">
      <c r="A211" s="195"/>
      <c r="B211" s="383"/>
      <c r="C211" s="195"/>
      <c r="D211" s="104" t="s">
        <v>104</v>
      </c>
      <c r="E211" s="8"/>
      <c r="F211" s="8"/>
      <c r="G211" s="8"/>
      <c r="H211" s="222"/>
      <c r="I211" s="442"/>
      <c r="J211" s="111"/>
      <c r="K211" s="112"/>
    </row>
    <row r="212" spans="1:12">
      <c r="A212" s="195"/>
      <c r="B212" s="383"/>
      <c r="C212" s="195"/>
      <c r="D212" s="104" t="str">
        <f>+D171</f>
        <v>PECO Energy Company</v>
      </c>
      <c r="E212" s="8"/>
      <c r="F212" s="8"/>
      <c r="G212" s="8"/>
      <c r="H212" s="222"/>
      <c r="I212" s="442"/>
      <c r="J212" s="111"/>
      <c r="K212" s="112"/>
    </row>
    <row r="213" spans="1:12">
      <c r="A213" s="974"/>
      <c r="B213" s="974"/>
      <c r="C213" s="974"/>
      <c r="D213" s="974"/>
      <c r="E213" s="974"/>
      <c r="F213" s="974"/>
      <c r="G213" s="974"/>
      <c r="H213" s="974"/>
      <c r="I213" s="974"/>
      <c r="J213" s="974"/>
      <c r="K213" s="974"/>
    </row>
    <row r="214" spans="1:12">
      <c r="A214" s="195"/>
      <c r="B214" s="383"/>
      <c r="C214" s="195"/>
      <c r="D214" s="8"/>
      <c r="E214" s="8"/>
      <c r="F214" s="8"/>
      <c r="G214" s="8"/>
      <c r="H214" s="222"/>
      <c r="I214" s="442"/>
      <c r="J214" s="111"/>
      <c r="K214" s="112"/>
    </row>
    <row r="215" spans="1:12">
      <c r="A215" s="195"/>
      <c r="B215" s="82" t="s">
        <v>60</v>
      </c>
      <c r="C215" s="195"/>
      <c r="D215" s="8"/>
      <c r="E215" s="8"/>
      <c r="F215" s="8"/>
      <c r="G215" s="8"/>
      <c r="H215" s="222"/>
      <c r="I215" s="8"/>
      <c r="J215" s="222"/>
      <c r="K215" s="8"/>
    </row>
    <row r="216" spans="1:12">
      <c r="A216" s="195"/>
      <c r="B216" s="443" t="s">
        <v>120</v>
      </c>
      <c r="C216" s="195"/>
      <c r="D216" s="8"/>
      <c r="E216" s="8"/>
      <c r="F216" s="8"/>
      <c r="G216" s="8"/>
      <c r="H216" s="222"/>
      <c r="I216" s="8"/>
      <c r="J216" s="222"/>
      <c r="K216" s="8"/>
    </row>
    <row r="217" spans="1:12">
      <c r="A217" s="195" t="s">
        <v>61</v>
      </c>
      <c r="B217" s="82"/>
      <c r="C217" s="222"/>
      <c r="D217" s="8"/>
      <c r="E217" s="8"/>
      <c r="F217" s="8"/>
      <c r="G217" s="8"/>
      <c r="H217" s="222"/>
      <c r="I217" s="8"/>
      <c r="J217" s="222"/>
      <c r="K217" s="8"/>
    </row>
    <row r="218" spans="1:12" ht="13.5" thickBot="1">
      <c r="A218" s="379" t="s">
        <v>62</v>
      </c>
      <c r="B218" s="975"/>
      <c r="C218" s="975"/>
      <c r="D218" s="444"/>
      <c r="E218" s="444"/>
      <c r="F218" s="444"/>
      <c r="G218" s="444"/>
      <c r="H218" s="361"/>
      <c r="I218" s="444"/>
      <c r="J218" s="361"/>
      <c r="K218" s="444"/>
    </row>
    <row r="219" spans="1:12">
      <c r="A219" s="621" t="s">
        <v>193</v>
      </c>
      <c r="B219" s="968" t="s">
        <v>398</v>
      </c>
      <c r="C219" s="968"/>
      <c r="D219" s="968"/>
      <c r="E219" s="968"/>
      <c r="F219" s="968"/>
      <c r="G219" s="968"/>
      <c r="H219" s="968"/>
      <c r="I219" s="968"/>
      <c r="J219" s="968"/>
      <c r="K219" s="968"/>
    </row>
    <row r="220" spans="1:12" ht="29.25" customHeight="1">
      <c r="A220" s="621" t="s">
        <v>194</v>
      </c>
      <c r="B220" s="968" t="s">
        <v>384</v>
      </c>
      <c r="C220" s="968"/>
      <c r="D220" s="968"/>
      <c r="E220" s="968"/>
      <c r="F220" s="968"/>
      <c r="G220" s="968"/>
      <c r="H220" s="968"/>
      <c r="I220" s="968"/>
      <c r="J220" s="968"/>
      <c r="K220" s="968"/>
      <c r="L220" s="613"/>
    </row>
    <row r="221" spans="1:12">
      <c r="A221" s="621" t="s">
        <v>65</v>
      </c>
      <c r="B221" s="971" t="s">
        <v>398</v>
      </c>
      <c r="C221" s="972"/>
      <c r="D221" s="972"/>
      <c r="E221" s="972"/>
      <c r="F221" s="972"/>
      <c r="G221" s="972"/>
      <c r="H221" s="972"/>
      <c r="I221" s="972"/>
      <c r="J221" s="972"/>
      <c r="K221" s="972"/>
      <c r="L221" s="613"/>
    </row>
    <row r="222" spans="1:12" ht="29.25" customHeight="1">
      <c r="A222" s="621" t="s">
        <v>66</v>
      </c>
      <c r="B222" s="968" t="s">
        <v>845</v>
      </c>
      <c r="C222" s="968"/>
      <c r="D222" s="968"/>
      <c r="E222" s="968"/>
      <c r="F222" s="968"/>
      <c r="G222" s="968"/>
      <c r="H222" s="968"/>
      <c r="I222" s="968"/>
      <c r="J222" s="968"/>
      <c r="K222" s="968"/>
    </row>
    <row r="223" spans="1:12" ht="29.25" customHeight="1">
      <c r="A223" s="621" t="s">
        <v>67</v>
      </c>
      <c r="B223" s="968" t="s">
        <v>847</v>
      </c>
      <c r="C223" s="968"/>
      <c r="D223" s="968"/>
      <c r="E223" s="968"/>
      <c r="F223" s="968"/>
      <c r="G223" s="968"/>
      <c r="H223" s="968"/>
      <c r="I223" s="968"/>
      <c r="J223" s="968"/>
      <c r="K223" s="968"/>
    </row>
    <row r="224" spans="1:12" ht="30" customHeight="1">
      <c r="A224" s="621" t="s">
        <v>68</v>
      </c>
      <c r="B224" s="968" t="s">
        <v>121</v>
      </c>
      <c r="C224" s="968"/>
      <c r="D224" s="968"/>
      <c r="E224" s="968"/>
      <c r="F224" s="968"/>
      <c r="G224" s="968"/>
      <c r="H224" s="968"/>
      <c r="I224" s="968"/>
      <c r="J224" s="968"/>
      <c r="K224" s="968"/>
    </row>
    <row r="225" spans="1:12" ht="45.75" customHeight="1">
      <c r="A225" s="621" t="s">
        <v>69</v>
      </c>
      <c r="B225" s="968" t="s">
        <v>478</v>
      </c>
      <c r="C225" s="968"/>
      <c r="D225" s="968"/>
      <c r="E225" s="968"/>
      <c r="F225" s="968"/>
      <c r="G225" s="968"/>
      <c r="H225" s="968"/>
      <c r="I225" s="968"/>
      <c r="J225" s="968"/>
      <c r="K225" s="968"/>
      <c r="L225" s="613"/>
    </row>
    <row r="226" spans="1:12">
      <c r="A226" s="621"/>
      <c r="B226" s="158" t="s">
        <v>73</v>
      </c>
      <c r="C226" s="158" t="s">
        <v>74</v>
      </c>
      <c r="D226" s="764">
        <v>0.35</v>
      </c>
      <c r="E226" s="158"/>
      <c r="F226" s="158"/>
      <c r="G226" s="158"/>
      <c r="H226" s="158"/>
      <c r="I226" s="158"/>
      <c r="J226" s="158"/>
      <c r="K226" s="158"/>
    </row>
    <row r="227" spans="1:12">
      <c r="A227" s="621"/>
      <c r="B227" s="158"/>
      <c r="C227" s="158" t="s">
        <v>75</v>
      </c>
      <c r="D227" s="765">
        <v>9.9900000000000003E-2</v>
      </c>
      <c r="E227" s="158" t="s">
        <v>122</v>
      </c>
      <c r="F227" s="158"/>
      <c r="G227" s="158"/>
      <c r="H227" s="158"/>
      <c r="I227" s="158"/>
      <c r="J227" s="158"/>
      <c r="K227" s="158"/>
    </row>
    <row r="228" spans="1:12">
      <c r="A228" s="621"/>
      <c r="B228" s="158"/>
      <c r="C228" s="158" t="s">
        <v>76</v>
      </c>
      <c r="D228" s="597">
        <v>0</v>
      </c>
      <c r="E228" s="158" t="s">
        <v>123</v>
      </c>
      <c r="F228" s="158"/>
      <c r="G228" s="158"/>
      <c r="H228" s="158"/>
      <c r="I228" s="158"/>
      <c r="J228" s="158"/>
      <c r="K228" s="158"/>
    </row>
    <row r="229" spans="1:12">
      <c r="A229" s="621"/>
      <c r="B229" s="158"/>
      <c r="C229" s="158"/>
      <c r="D229" s="224"/>
      <c r="E229" s="158"/>
      <c r="F229" s="158"/>
      <c r="G229" s="158"/>
      <c r="H229" s="158"/>
      <c r="I229" s="158"/>
      <c r="J229" s="158"/>
      <c r="K229" s="158"/>
    </row>
    <row r="230" spans="1:12" ht="19.5" customHeight="1">
      <c r="A230" s="621" t="s">
        <v>70</v>
      </c>
      <c r="B230" s="968" t="s">
        <v>125</v>
      </c>
      <c r="C230" s="968"/>
      <c r="D230" s="968"/>
      <c r="E230" s="968"/>
      <c r="F230" s="968"/>
      <c r="G230" s="968"/>
      <c r="H230" s="968"/>
      <c r="I230" s="968"/>
      <c r="J230" s="968"/>
      <c r="K230" s="968"/>
    </row>
    <row r="231" spans="1:12" ht="31.5" customHeight="1">
      <c r="A231" s="621" t="s">
        <v>71</v>
      </c>
      <c r="B231" s="968" t="s">
        <v>126</v>
      </c>
      <c r="C231" s="968"/>
      <c r="D231" s="968"/>
      <c r="E231" s="968"/>
      <c r="F231" s="968"/>
      <c r="G231" s="968"/>
      <c r="H231" s="968"/>
      <c r="I231" s="968"/>
      <c r="J231" s="968"/>
      <c r="K231" s="968"/>
    </row>
    <row r="232" spans="1:12">
      <c r="A232" s="621" t="s">
        <v>72</v>
      </c>
      <c r="B232" s="971" t="s">
        <v>398</v>
      </c>
      <c r="C232" s="972"/>
      <c r="D232" s="972"/>
      <c r="E232" s="972"/>
      <c r="F232" s="972"/>
      <c r="G232" s="972"/>
      <c r="H232" s="972"/>
      <c r="I232" s="972"/>
      <c r="J232" s="972"/>
      <c r="K232" s="972"/>
    </row>
    <row r="233" spans="1:12">
      <c r="A233" s="621" t="s">
        <v>105</v>
      </c>
      <c r="B233" s="968" t="s">
        <v>205</v>
      </c>
      <c r="C233" s="968"/>
      <c r="D233" s="968"/>
      <c r="E233" s="968"/>
      <c r="F233" s="968"/>
      <c r="G233" s="968"/>
      <c r="H233" s="968"/>
      <c r="I233" s="968"/>
      <c r="J233" s="968"/>
      <c r="K233" s="968"/>
    </row>
    <row r="234" spans="1:12">
      <c r="A234" s="621" t="s">
        <v>195</v>
      </c>
      <c r="B234" s="968" t="s">
        <v>398</v>
      </c>
      <c r="C234" s="968"/>
      <c r="D234" s="968"/>
      <c r="E234" s="968"/>
      <c r="F234" s="968"/>
      <c r="G234" s="968"/>
      <c r="H234" s="968"/>
      <c r="I234" s="968"/>
      <c r="J234" s="968"/>
      <c r="K234" s="968"/>
    </row>
    <row r="235" spans="1:12">
      <c r="A235" s="621" t="s">
        <v>124</v>
      </c>
      <c r="B235" s="619" t="s">
        <v>398</v>
      </c>
      <c r="C235" s="620"/>
      <c r="D235" s="620"/>
      <c r="E235" s="620"/>
      <c r="F235" s="620"/>
      <c r="G235" s="620"/>
      <c r="H235" s="620"/>
      <c r="I235" s="620"/>
      <c r="J235" s="620"/>
      <c r="K235" s="620"/>
      <c r="L235" s="613"/>
    </row>
    <row r="236" spans="1:12">
      <c r="A236" s="621" t="s">
        <v>196</v>
      </c>
      <c r="B236" s="619" t="s">
        <v>398</v>
      </c>
      <c r="C236" s="620"/>
      <c r="D236" s="620"/>
      <c r="E236" s="620"/>
      <c r="F236" s="620"/>
      <c r="G236" s="620"/>
      <c r="H236" s="620"/>
      <c r="I236" s="620"/>
      <c r="J236" s="620"/>
      <c r="K236" s="620"/>
      <c r="L236" s="613"/>
    </row>
    <row r="237" spans="1:12">
      <c r="A237" s="621" t="s">
        <v>127</v>
      </c>
      <c r="B237" s="619" t="s">
        <v>398</v>
      </c>
      <c r="C237" s="620"/>
      <c r="D237" s="620"/>
      <c r="E237" s="620"/>
      <c r="F237" s="620"/>
      <c r="G237" s="620"/>
      <c r="H237" s="620"/>
      <c r="I237" s="620"/>
      <c r="J237" s="620"/>
      <c r="K237" s="620"/>
    </row>
    <row r="238" spans="1:12">
      <c r="A238" s="621" t="s">
        <v>128</v>
      </c>
      <c r="B238" s="619" t="s">
        <v>398</v>
      </c>
      <c r="C238" s="620"/>
      <c r="D238" s="620"/>
      <c r="E238" s="620"/>
      <c r="F238" s="620"/>
      <c r="G238" s="620"/>
      <c r="H238" s="620"/>
      <c r="I238" s="620"/>
      <c r="J238" s="620"/>
      <c r="K238" s="620"/>
    </row>
    <row r="239" spans="1:12">
      <c r="A239" s="621" t="s">
        <v>129</v>
      </c>
      <c r="B239" s="619" t="s">
        <v>398</v>
      </c>
      <c r="C239" s="620"/>
      <c r="D239" s="620"/>
      <c r="E239" s="620"/>
      <c r="F239" s="620"/>
      <c r="G239" s="620"/>
      <c r="H239" s="620"/>
      <c r="I239" s="620"/>
      <c r="J239" s="620"/>
      <c r="K239" s="620"/>
      <c r="L239" s="613"/>
    </row>
    <row r="240" spans="1:12">
      <c r="A240" s="621" t="s">
        <v>130</v>
      </c>
      <c r="B240" s="970" t="s">
        <v>466</v>
      </c>
      <c r="C240" s="970"/>
      <c r="D240" s="970"/>
      <c r="E240" s="970"/>
      <c r="F240" s="970"/>
      <c r="G240" s="970"/>
      <c r="H240" s="970"/>
      <c r="I240" s="970"/>
      <c r="J240" s="970"/>
      <c r="K240" s="970"/>
    </row>
    <row r="241" spans="1:11">
      <c r="A241" s="621" t="s">
        <v>131</v>
      </c>
      <c r="B241" s="969" t="s">
        <v>444</v>
      </c>
      <c r="C241" s="969"/>
      <c r="D241" s="969"/>
      <c r="E241" s="969"/>
      <c r="F241" s="969"/>
      <c r="G241" s="969"/>
      <c r="H241" s="969"/>
      <c r="I241" s="969"/>
      <c r="J241" s="969"/>
      <c r="K241" s="969"/>
    </row>
    <row r="242" spans="1:11" s="434" customFormat="1">
      <c r="A242" s="621" t="s">
        <v>132</v>
      </c>
      <c r="B242" s="967" t="s">
        <v>1130</v>
      </c>
      <c r="C242" s="967"/>
      <c r="D242" s="967"/>
      <c r="E242" s="967"/>
      <c r="F242" s="967"/>
      <c r="G242" s="967"/>
      <c r="H242" s="967"/>
      <c r="I242" s="967"/>
      <c r="J242" s="967"/>
      <c r="K242" s="967"/>
    </row>
    <row r="243" spans="1:11" s="434" customFormat="1">
      <c r="A243" s="621" t="s">
        <v>225</v>
      </c>
      <c r="B243" s="169" t="s">
        <v>318</v>
      </c>
      <c r="C243" s="169"/>
      <c r="D243" s="169"/>
      <c r="E243" s="169"/>
      <c r="F243" s="169"/>
      <c r="G243" s="169"/>
      <c r="H243" s="158"/>
      <c r="I243" s="159"/>
      <c r="J243" s="160"/>
      <c r="K243" s="160"/>
    </row>
    <row r="244" spans="1:11" s="434" customFormat="1">
      <c r="A244" s="621" t="s">
        <v>264</v>
      </c>
      <c r="B244" s="445" t="s">
        <v>311</v>
      </c>
      <c r="C244" s="445"/>
      <c r="D244" s="445"/>
      <c r="E244" s="445"/>
      <c r="F244" s="445"/>
      <c r="G244" s="445"/>
      <c r="H244" s="445"/>
      <c r="I244" s="445"/>
      <c r="J244" s="445"/>
      <c r="K244" s="445"/>
    </row>
    <row r="245" spans="1:11">
      <c r="A245" s="621" t="s">
        <v>304</v>
      </c>
      <c r="B245" s="116" t="s">
        <v>320</v>
      </c>
    </row>
    <row r="246" spans="1:11">
      <c r="A246" s="621" t="s">
        <v>347</v>
      </c>
      <c r="B246" s="116" t="s">
        <v>851</v>
      </c>
    </row>
    <row r="247" spans="1:11">
      <c r="A247" s="621" t="s">
        <v>486</v>
      </c>
      <c r="B247" s="446" t="s">
        <v>854</v>
      </c>
    </row>
    <row r="248" spans="1:11">
      <c r="B248" s="446" t="s">
        <v>485</v>
      </c>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s>
  <mergeCells count="20">
    <mergeCell ref="A40:K40"/>
    <mergeCell ref="A106:K106"/>
    <mergeCell ref="A172:K172"/>
    <mergeCell ref="B224:K224"/>
    <mergeCell ref="A213:K213"/>
    <mergeCell ref="B218:C218"/>
    <mergeCell ref="B219:K219"/>
    <mergeCell ref="B220:K220"/>
    <mergeCell ref="B221:K221"/>
    <mergeCell ref="B222:K222"/>
    <mergeCell ref="B223:K223"/>
    <mergeCell ref="B242:K242"/>
    <mergeCell ref="B234:K234"/>
    <mergeCell ref="B241:K241"/>
    <mergeCell ref="B240:K240"/>
    <mergeCell ref="B225:K225"/>
    <mergeCell ref="B230:K230"/>
    <mergeCell ref="B231:K231"/>
    <mergeCell ref="B232:K232"/>
    <mergeCell ref="B233:K233"/>
  </mergeCells>
  <phoneticPr fontId="0" type="noConversion"/>
  <pageMargins left="0.25" right="0.25" top="0.75" bottom="0.75" header="0.3" footer="0.3"/>
  <pageSetup scale="58" fitToHeight="0" orientation="landscape" r:id="rId2"/>
  <rowBreaks count="4" manualBreakCount="4">
    <brk id="33" max="10" man="1"/>
    <brk id="100" max="16383" man="1"/>
    <brk id="165" max="10" man="1"/>
    <brk id="20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topLeftCell="A85" zoomScale="90" zoomScaleNormal="90" zoomScaleSheetLayoutView="80" workbookViewId="0">
      <selection activeCell="C38" sqref="C38:D50"/>
    </sheetView>
  </sheetViews>
  <sheetFormatPr defaultRowHeight="15"/>
  <cols>
    <col min="1" max="1" width="4.77734375" customWidth="1"/>
    <col min="2" max="2" width="62" customWidth="1"/>
    <col min="3" max="3" width="15.33203125" customWidth="1"/>
    <col min="4" max="7" width="11.6640625" customWidth="1"/>
    <col min="8" max="8" width="11" bestFit="1" customWidth="1"/>
    <col min="10" max="10" width="13.77734375" bestFit="1" customWidth="1"/>
    <col min="11" max="11" width="12.44140625" bestFit="1" customWidth="1"/>
  </cols>
  <sheetData>
    <row r="1" spans="1:14" ht="18">
      <c r="A1" s="1008" t="str">
        <f>+'Attachment H-7'!D171</f>
        <v>PECO Energy Company</v>
      </c>
      <c r="B1" s="1008"/>
      <c r="C1" s="1008"/>
      <c r="D1" s="1008"/>
      <c r="E1" s="1008"/>
      <c r="F1" s="1008"/>
      <c r="G1" s="203"/>
      <c r="H1" t="s">
        <v>465</v>
      </c>
    </row>
    <row r="2" spans="1:14" ht="20.25">
      <c r="A2" s="853"/>
      <c r="B2" s="330"/>
      <c r="C2" s="331"/>
      <c r="D2" s="332"/>
      <c r="E2" s="203"/>
      <c r="F2" s="203"/>
      <c r="G2" s="203"/>
    </row>
    <row r="3" spans="1:14">
      <c r="A3" s="1009" t="s">
        <v>1144</v>
      </c>
      <c r="B3" s="1009"/>
      <c r="C3" s="1009"/>
      <c r="D3" s="1009"/>
      <c r="E3" s="1009"/>
      <c r="F3" s="1009"/>
      <c r="G3" s="203"/>
    </row>
    <row r="4" spans="1:14" ht="15.75">
      <c r="B4" s="627" t="s">
        <v>209</v>
      </c>
      <c r="C4" s="627" t="s">
        <v>210</v>
      </c>
      <c r="D4" s="627" t="s">
        <v>211</v>
      </c>
      <c r="E4" s="627" t="s">
        <v>212</v>
      </c>
      <c r="F4" s="627" t="s">
        <v>214</v>
      </c>
      <c r="G4" s="627" t="s">
        <v>958</v>
      </c>
      <c r="H4" s="627" t="s">
        <v>963</v>
      </c>
      <c r="I4" s="627"/>
      <c r="J4" s="627"/>
      <c r="K4" s="627"/>
      <c r="L4" s="627"/>
      <c r="M4" s="627"/>
      <c r="N4" s="627"/>
    </row>
    <row r="5" spans="1:14">
      <c r="B5" s="602" t="s">
        <v>770</v>
      </c>
    </row>
    <row r="6" spans="1:14">
      <c r="B6" s="477" t="s">
        <v>768</v>
      </c>
      <c r="C6" s="616" t="s">
        <v>771</v>
      </c>
      <c r="D6" s="616" t="s">
        <v>772</v>
      </c>
      <c r="E6" s="616"/>
      <c r="F6" s="617"/>
      <c r="G6" s="617"/>
      <c r="H6" s="599" t="s">
        <v>13</v>
      </c>
    </row>
    <row r="7" spans="1:14">
      <c r="A7" s="599">
        <v>1</v>
      </c>
      <c r="B7" s="618">
        <v>923</v>
      </c>
      <c r="C7" s="618">
        <v>0</v>
      </c>
      <c r="D7" s="949">
        <v>3470687.1999999993</v>
      </c>
      <c r="E7" s="617"/>
      <c r="F7" s="617"/>
      <c r="G7" s="617"/>
      <c r="H7" s="600">
        <f t="shared" ref="H7:H17" si="0">SUM(C7:G7)</f>
        <v>3470687.1999999993</v>
      </c>
      <c r="I7" s="599"/>
    </row>
    <row r="8" spans="1:14">
      <c r="A8" s="599">
        <f>A7+1</f>
        <v>2</v>
      </c>
      <c r="B8" s="618"/>
      <c r="C8" s="618"/>
      <c r="D8" s="949"/>
      <c r="E8" s="617"/>
      <c r="F8" s="617"/>
      <c r="G8" s="617"/>
      <c r="H8" s="600">
        <f t="shared" si="0"/>
        <v>0</v>
      </c>
      <c r="I8" s="599"/>
    </row>
    <row r="9" spans="1:14">
      <c r="A9" s="599">
        <f t="shared" ref="A9:A17" si="1">A8+1</f>
        <v>3</v>
      </c>
      <c r="B9" s="618"/>
      <c r="C9" s="618"/>
      <c r="D9" s="618"/>
      <c r="E9" s="617"/>
      <c r="F9" s="617"/>
      <c r="G9" s="617"/>
      <c r="H9" s="600">
        <f t="shared" si="0"/>
        <v>0</v>
      </c>
      <c r="I9" s="599"/>
    </row>
    <row r="10" spans="1:14">
      <c r="A10" s="599">
        <f t="shared" si="1"/>
        <v>4</v>
      </c>
      <c r="B10" s="618"/>
      <c r="C10" s="618"/>
      <c r="D10" s="618"/>
      <c r="E10" s="617"/>
      <c r="F10" s="617"/>
      <c r="G10" s="617"/>
      <c r="H10" s="600">
        <f t="shared" si="0"/>
        <v>0</v>
      </c>
      <c r="I10" s="599"/>
    </row>
    <row r="11" spans="1:14">
      <c r="A11" s="599">
        <f t="shared" si="1"/>
        <v>5</v>
      </c>
      <c r="B11" s="618"/>
      <c r="C11" s="618"/>
      <c r="D11" s="618"/>
      <c r="E11" s="617"/>
      <c r="F11" s="617"/>
      <c r="G11" s="617"/>
      <c r="H11" s="600">
        <f t="shared" si="0"/>
        <v>0</v>
      </c>
      <c r="I11" s="599"/>
    </row>
    <row r="12" spans="1:14">
      <c r="A12" s="599">
        <f t="shared" si="1"/>
        <v>6</v>
      </c>
      <c r="B12" s="618"/>
      <c r="C12" s="618"/>
      <c r="D12" s="618"/>
      <c r="E12" s="617"/>
      <c r="F12" s="617"/>
      <c r="G12" s="617"/>
      <c r="H12" s="600">
        <f t="shared" si="0"/>
        <v>0</v>
      </c>
      <c r="I12" s="599"/>
    </row>
    <row r="13" spans="1:14">
      <c r="A13" s="599">
        <f t="shared" si="1"/>
        <v>7</v>
      </c>
      <c r="B13" s="618"/>
      <c r="C13" s="618"/>
      <c r="D13" s="618"/>
      <c r="E13" s="617"/>
      <c r="F13" s="617"/>
      <c r="G13" s="617"/>
      <c r="H13" s="600">
        <f t="shared" si="0"/>
        <v>0</v>
      </c>
      <c r="I13" s="599"/>
    </row>
    <row r="14" spans="1:14">
      <c r="A14" s="599">
        <f t="shared" si="1"/>
        <v>8</v>
      </c>
      <c r="B14" s="618"/>
      <c r="C14" s="618"/>
      <c r="D14" s="618"/>
      <c r="E14" s="617"/>
      <c r="F14" s="617"/>
      <c r="G14" s="617"/>
      <c r="H14" s="600">
        <f t="shared" si="0"/>
        <v>0</v>
      </c>
      <c r="I14" s="599"/>
    </row>
    <row r="15" spans="1:14">
      <c r="A15" s="599">
        <f t="shared" si="1"/>
        <v>9</v>
      </c>
      <c r="B15" s="618"/>
      <c r="C15" s="618"/>
      <c r="D15" s="618"/>
      <c r="E15" s="617"/>
      <c r="F15" s="617"/>
      <c r="G15" s="617"/>
      <c r="H15" s="600">
        <f t="shared" si="0"/>
        <v>0</v>
      </c>
      <c r="I15" s="599"/>
    </row>
    <row r="16" spans="1:14">
      <c r="A16" s="599">
        <f t="shared" si="1"/>
        <v>10</v>
      </c>
      <c r="B16" s="618"/>
      <c r="C16" s="618"/>
      <c r="D16" s="618"/>
      <c r="E16" s="617"/>
      <c r="F16" s="617"/>
      <c r="G16" s="617"/>
      <c r="H16" s="600">
        <f t="shared" si="0"/>
        <v>0</v>
      </c>
      <c r="I16" s="599"/>
    </row>
    <row r="17" spans="1:10">
      <c r="A17" s="599">
        <f t="shared" si="1"/>
        <v>11</v>
      </c>
      <c r="B17" s="477" t="s">
        <v>13</v>
      </c>
      <c r="C17" s="600">
        <f>SUM(C7:C16)</f>
        <v>0</v>
      </c>
      <c r="D17" s="600">
        <f>SUM(D7:D16)</f>
        <v>3470687.1999999993</v>
      </c>
      <c r="E17" s="600"/>
      <c r="F17" s="600"/>
      <c r="G17" s="600"/>
      <c r="H17" s="600">
        <f t="shared" si="0"/>
        <v>3470687.1999999993</v>
      </c>
      <c r="I17" s="599"/>
    </row>
    <row r="18" spans="1:10" ht="16.5">
      <c r="A18" s="493"/>
      <c r="B18" s="477"/>
      <c r="C18" s="600"/>
      <c r="D18" s="600"/>
      <c r="E18" s="600"/>
      <c r="F18" s="600"/>
      <c r="G18" s="600"/>
      <c r="H18" s="600"/>
      <c r="I18" s="599"/>
    </row>
    <row r="19" spans="1:10" ht="16.5">
      <c r="A19" s="259"/>
      <c r="B19" s="826" t="s">
        <v>1139</v>
      </c>
      <c r="I19" s="599"/>
    </row>
    <row r="20" spans="1:10">
      <c r="B20" s="602" t="s">
        <v>857</v>
      </c>
      <c r="C20" s="477" t="str">
        <f>C6</f>
        <v>Constellation Merger</v>
      </c>
      <c r="D20" s="477" t="str">
        <f>D6</f>
        <v>PHI Merger</v>
      </c>
      <c r="E20" s="477"/>
      <c r="F20" s="477"/>
      <c r="G20" s="477"/>
      <c r="H20" s="599" t="s">
        <v>13</v>
      </c>
    </row>
    <row r="21" spans="1:10">
      <c r="A21" s="599">
        <f>A17+1</f>
        <v>12</v>
      </c>
      <c r="B21" s="477" t="s">
        <v>206</v>
      </c>
      <c r="C21" s="643">
        <v>8306017.3751000008</v>
      </c>
      <c r="D21" s="643">
        <v>47485.945100000004</v>
      </c>
      <c r="E21" s="644"/>
      <c r="F21" s="644"/>
      <c r="G21" s="644"/>
      <c r="H21" s="600">
        <f t="shared" ref="H21:H33" si="2">SUM(C21:G21)</f>
        <v>8353503.3202000009</v>
      </c>
      <c r="J21" s="124"/>
    </row>
    <row r="22" spans="1:10">
      <c r="A22" s="599">
        <f>A21+1</f>
        <v>13</v>
      </c>
      <c r="B22" s="477" t="s">
        <v>89</v>
      </c>
      <c r="C22" s="643">
        <v>8306017.4223740008</v>
      </c>
      <c r="D22" s="643">
        <v>49047.255618999996</v>
      </c>
      <c r="E22" s="644"/>
      <c r="F22" s="644"/>
      <c r="G22" s="644"/>
      <c r="H22" s="600">
        <f t="shared" si="2"/>
        <v>8355064.6779930005</v>
      </c>
      <c r="J22" s="124"/>
    </row>
    <row r="23" spans="1:10">
      <c r="A23" s="599">
        <f t="shared" ref="A23:A34" si="3">A22+1</f>
        <v>14</v>
      </c>
      <c r="B23" s="477" t="s">
        <v>88</v>
      </c>
      <c r="C23" s="643">
        <v>8306017.4223740008</v>
      </c>
      <c r="D23" s="643">
        <v>49015.345668999995</v>
      </c>
      <c r="E23" s="644"/>
      <c r="F23" s="644"/>
      <c r="G23" s="644"/>
      <c r="H23" s="600">
        <f t="shared" si="2"/>
        <v>8355032.7680430012</v>
      </c>
      <c r="J23" s="124"/>
    </row>
    <row r="24" spans="1:10">
      <c r="A24" s="599">
        <f t="shared" si="3"/>
        <v>15</v>
      </c>
      <c r="B24" s="477" t="s">
        <v>178</v>
      </c>
      <c r="C24" s="643">
        <v>3204422.6459612902</v>
      </c>
      <c r="D24" s="643">
        <v>70873.779603999996</v>
      </c>
      <c r="E24" s="644"/>
      <c r="F24" s="644"/>
      <c r="G24" s="644"/>
      <c r="H24" s="600">
        <f t="shared" si="2"/>
        <v>3275296.4255652903</v>
      </c>
      <c r="J24" s="124"/>
    </row>
    <row r="25" spans="1:10">
      <c r="A25" s="599">
        <f t="shared" si="3"/>
        <v>16</v>
      </c>
      <c r="B25" s="477" t="s">
        <v>79</v>
      </c>
      <c r="C25" s="643">
        <v>0</v>
      </c>
      <c r="D25" s="643">
        <v>132438.69404599999</v>
      </c>
      <c r="E25" s="644"/>
      <c r="F25" s="644"/>
      <c r="G25" s="644"/>
      <c r="H25" s="600">
        <f t="shared" si="2"/>
        <v>132438.69404599999</v>
      </c>
      <c r="J25" s="124"/>
    </row>
    <row r="26" spans="1:10">
      <c r="A26" s="599">
        <f t="shared" si="3"/>
        <v>17</v>
      </c>
      <c r="B26" s="477" t="s">
        <v>78</v>
      </c>
      <c r="C26" s="643">
        <v>0</v>
      </c>
      <c r="D26" s="643">
        <v>148934.01874500001</v>
      </c>
      <c r="E26" s="644"/>
      <c r="F26" s="644"/>
      <c r="G26" s="644"/>
      <c r="H26" s="600">
        <f t="shared" si="2"/>
        <v>148934.01874500001</v>
      </c>
      <c r="J26" s="124"/>
    </row>
    <row r="27" spans="1:10">
      <c r="A27" s="599">
        <f t="shared" si="3"/>
        <v>18</v>
      </c>
      <c r="B27" s="477" t="s">
        <v>98</v>
      </c>
      <c r="C27" s="643">
        <v>0</v>
      </c>
      <c r="D27" s="643">
        <v>318444.313876</v>
      </c>
      <c r="E27" s="644"/>
      <c r="F27" s="644"/>
      <c r="G27" s="644"/>
      <c r="H27" s="600">
        <f t="shared" si="2"/>
        <v>318444.313876</v>
      </c>
      <c r="J27" s="124"/>
    </row>
    <row r="28" spans="1:10">
      <c r="A28" s="599">
        <f t="shared" si="3"/>
        <v>19</v>
      </c>
      <c r="B28" s="477" t="s">
        <v>86</v>
      </c>
      <c r="C28" s="643">
        <v>0</v>
      </c>
      <c r="D28" s="643">
        <v>325342.08685300004</v>
      </c>
      <c r="E28" s="644"/>
      <c r="F28" s="644"/>
      <c r="G28" s="644"/>
      <c r="H28" s="600">
        <f t="shared" si="2"/>
        <v>325342.08685300004</v>
      </c>
      <c r="J28" s="124"/>
    </row>
    <row r="29" spans="1:10">
      <c r="A29" s="599">
        <f t="shared" si="3"/>
        <v>20</v>
      </c>
      <c r="B29" s="477" t="s">
        <v>179</v>
      </c>
      <c r="C29" s="643">
        <v>0</v>
      </c>
      <c r="D29" s="643">
        <v>320293.43638600002</v>
      </c>
      <c r="E29" s="644"/>
      <c r="F29" s="644"/>
      <c r="G29" s="644"/>
      <c r="H29" s="600">
        <f t="shared" si="2"/>
        <v>320293.43638600002</v>
      </c>
      <c r="J29" s="124"/>
    </row>
    <row r="30" spans="1:10">
      <c r="A30" s="599">
        <f t="shared" si="3"/>
        <v>21</v>
      </c>
      <c r="B30" s="477" t="s">
        <v>84</v>
      </c>
      <c r="C30" s="643">
        <v>0</v>
      </c>
      <c r="D30" s="643">
        <v>547736.96273100004</v>
      </c>
      <c r="E30" s="644"/>
      <c r="F30" s="644"/>
      <c r="G30" s="644"/>
      <c r="H30" s="600">
        <f t="shared" si="2"/>
        <v>547736.96273100004</v>
      </c>
      <c r="J30" s="124"/>
    </row>
    <row r="31" spans="1:10">
      <c r="A31" s="599">
        <f t="shared" si="3"/>
        <v>22</v>
      </c>
      <c r="B31" s="477" t="s">
        <v>90</v>
      </c>
      <c r="C31" s="643">
        <v>0</v>
      </c>
      <c r="D31" s="643">
        <v>547990.18591200002</v>
      </c>
      <c r="E31" s="644"/>
      <c r="F31" s="644"/>
      <c r="G31" s="644"/>
      <c r="H31" s="600">
        <f t="shared" si="2"/>
        <v>547990.18591200002</v>
      </c>
      <c r="J31" s="124"/>
    </row>
    <row r="32" spans="1:10">
      <c r="A32" s="599">
        <f t="shared" si="3"/>
        <v>23</v>
      </c>
      <c r="B32" s="477" t="s">
        <v>83</v>
      </c>
      <c r="C32" s="643">
        <v>0</v>
      </c>
      <c r="D32" s="643">
        <v>550003.12071100005</v>
      </c>
      <c r="E32" s="644"/>
      <c r="F32" s="644"/>
      <c r="G32" s="644"/>
      <c r="H32" s="600">
        <f t="shared" si="2"/>
        <v>550003.12071100005</v>
      </c>
      <c r="J32" s="124"/>
    </row>
    <row r="33" spans="1:10">
      <c r="A33" s="599">
        <f t="shared" si="3"/>
        <v>24</v>
      </c>
      <c r="B33" s="477" t="s">
        <v>207</v>
      </c>
      <c r="C33" s="643">
        <v>0</v>
      </c>
      <c r="D33" s="643">
        <v>720915.83844700002</v>
      </c>
      <c r="E33" s="644"/>
      <c r="F33" s="644"/>
      <c r="G33" s="644"/>
      <c r="H33" s="600">
        <f t="shared" si="2"/>
        <v>720915.83844700002</v>
      </c>
      <c r="J33" s="124"/>
    </row>
    <row r="34" spans="1:10">
      <c r="A34" s="599">
        <f t="shared" si="3"/>
        <v>25</v>
      </c>
      <c r="B34" s="477" t="s">
        <v>531</v>
      </c>
      <c r="C34" s="601">
        <f>AVERAGE(C21:C33)</f>
        <v>2163267.2973699453</v>
      </c>
      <c r="D34" s="601">
        <f>AVERAGE(D21:D33)</f>
        <v>294501.61413069232</v>
      </c>
      <c r="E34" s="601"/>
      <c r="F34" s="601"/>
      <c r="G34" s="601"/>
      <c r="H34" s="601">
        <f>AVERAGE(H21:H33)</f>
        <v>2457768.9115006384</v>
      </c>
      <c r="J34" s="124"/>
    </row>
    <row r="35" spans="1:10">
      <c r="A35" s="599"/>
      <c r="B35" s="477"/>
      <c r="C35" s="601"/>
      <c r="D35" s="601"/>
      <c r="E35" s="601"/>
      <c r="F35" s="601"/>
      <c r="J35" s="124"/>
    </row>
    <row r="36" spans="1:10">
      <c r="J36" s="124"/>
    </row>
    <row r="37" spans="1:10">
      <c r="B37" s="602" t="s">
        <v>219</v>
      </c>
      <c r="C37" s="477" t="str">
        <f>C20</f>
        <v>Constellation Merger</v>
      </c>
      <c r="D37" s="477" t="str">
        <f>D20</f>
        <v>PHI Merger</v>
      </c>
      <c r="E37" s="477"/>
      <c r="F37" s="477"/>
      <c r="G37" s="477"/>
      <c r="H37" s="599" t="s">
        <v>13</v>
      </c>
      <c r="J37" s="124"/>
    </row>
    <row r="38" spans="1:10">
      <c r="A38" s="599">
        <f>A34+1</f>
        <v>26</v>
      </c>
      <c r="B38" s="477" t="s">
        <v>206</v>
      </c>
      <c r="C38" s="643">
        <v>6333883.9776000008</v>
      </c>
      <c r="D38" s="643">
        <v>4274.3575000000001</v>
      </c>
      <c r="E38" s="644"/>
      <c r="F38" s="644"/>
      <c r="G38" s="644"/>
      <c r="H38" s="600">
        <f t="shared" ref="H38:H50" si="4">SUM(C38:G38)</f>
        <v>6338158.3351000007</v>
      </c>
      <c r="J38" s="124"/>
    </row>
    <row r="39" spans="1:10">
      <c r="A39" s="599">
        <f>A38+1</f>
        <v>27</v>
      </c>
      <c r="B39" s="477" t="s">
        <v>89</v>
      </c>
      <c r="C39" s="643">
        <v>6441153.9152560011</v>
      </c>
      <c r="D39" s="643">
        <v>5158.0897770000001</v>
      </c>
      <c r="E39" s="644"/>
      <c r="F39" s="644"/>
      <c r="G39" s="644"/>
      <c r="H39" s="600">
        <f t="shared" si="4"/>
        <v>6446312.0050330013</v>
      </c>
      <c r="J39" s="124"/>
    </row>
    <row r="40" spans="1:10">
      <c r="A40" s="599">
        <f t="shared" ref="A40:A51" si="5">A39+1</f>
        <v>28</v>
      </c>
      <c r="B40" s="477" t="s">
        <v>88</v>
      </c>
      <c r="C40" s="643">
        <v>6563327.8244650019</v>
      </c>
      <c r="D40" s="643">
        <v>5922.6127839999999</v>
      </c>
      <c r="E40" s="644"/>
      <c r="F40" s="644"/>
      <c r="G40" s="644"/>
      <c r="H40" s="600">
        <f t="shared" si="4"/>
        <v>6569250.437249002</v>
      </c>
      <c r="J40" s="124"/>
    </row>
    <row r="41" spans="1:10">
      <c r="A41" s="599">
        <f t="shared" si="5"/>
        <v>29</v>
      </c>
      <c r="B41" s="477" t="s">
        <v>178</v>
      </c>
      <c r="C41" s="643">
        <v>2578485.7133283876</v>
      </c>
      <c r="D41" s="643">
        <v>9576.3650910000015</v>
      </c>
      <c r="E41" s="644"/>
      <c r="F41" s="644"/>
      <c r="G41" s="644"/>
      <c r="H41" s="600">
        <f t="shared" si="4"/>
        <v>2588062.0784193878</v>
      </c>
      <c r="J41" s="124"/>
    </row>
    <row r="42" spans="1:10">
      <c r="A42" s="599">
        <f t="shared" si="5"/>
        <v>30</v>
      </c>
      <c r="B42" s="477" t="s">
        <v>79</v>
      </c>
      <c r="C42" s="643">
        <v>0</v>
      </c>
      <c r="D42" s="643">
        <v>12667.832563</v>
      </c>
      <c r="E42" s="644"/>
      <c r="F42" s="644"/>
      <c r="G42" s="644"/>
      <c r="H42" s="600">
        <f t="shared" si="4"/>
        <v>12667.832563</v>
      </c>
      <c r="J42" s="124"/>
    </row>
    <row r="43" spans="1:10">
      <c r="A43" s="599">
        <f t="shared" si="5"/>
        <v>31</v>
      </c>
      <c r="B43" s="477" t="s">
        <v>78</v>
      </c>
      <c r="C43" s="643">
        <v>0</v>
      </c>
      <c r="D43" s="643">
        <v>14906.248584000003</v>
      </c>
      <c r="E43" s="644"/>
      <c r="F43" s="644"/>
      <c r="G43" s="644"/>
      <c r="H43" s="600">
        <f t="shared" si="4"/>
        <v>14906.248584000003</v>
      </c>
      <c r="J43" s="124"/>
    </row>
    <row r="44" spans="1:10">
      <c r="A44" s="599">
        <f t="shared" si="5"/>
        <v>32</v>
      </c>
      <c r="B44" s="477" t="s">
        <v>98</v>
      </c>
      <c r="C44" s="643">
        <v>0</v>
      </c>
      <c r="D44" s="643">
        <v>24284.315003</v>
      </c>
      <c r="E44" s="644"/>
      <c r="F44" s="644"/>
      <c r="G44" s="644"/>
      <c r="H44" s="600">
        <f t="shared" si="4"/>
        <v>24284.315003</v>
      </c>
      <c r="J44" s="124"/>
    </row>
    <row r="45" spans="1:10">
      <c r="A45" s="599">
        <f t="shared" si="5"/>
        <v>33</v>
      </c>
      <c r="B45" s="477" t="s">
        <v>86</v>
      </c>
      <c r="C45" s="643">
        <v>0</v>
      </c>
      <c r="D45" s="643">
        <v>29373.589594000001</v>
      </c>
      <c r="E45" s="644"/>
      <c r="F45" s="644"/>
      <c r="G45" s="644"/>
      <c r="H45" s="600">
        <f t="shared" si="4"/>
        <v>29373.589594000001</v>
      </c>
      <c r="J45" s="124"/>
    </row>
    <row r="46" spans="1:10">
      <c r="A46" s="599">
        <f t="shared" si="5"/>
        <v>34</v>
      </c>
      <c r="B46" s="477" t="s">
        <v>179</v>
      </c>
      <c r="C46" s="643">
        <v>0</v>
      </c>
      <c r="D46" s="643">
        <v>33827.493746000007</v>
      </c>
      <c r="E46" s="644"/>
      <c r="F46" s="644"/>
      <c r="G46" s="644"/>
      <c r="H46" s="600">
        <f t="shared" si="4"/>
        <v>33827.493746000007</v>
      </c>
      <c r="J46" s="124"/>
    </row>
    <row r="47" spans="1:10">
      <c r="A47" s="599">
        <f t="shared" si="5"/>
        <v>35</v>
      </c>
      <c r="B47" s="477" t="s">
        <v>84</v>
      </c>
      <c r="C47" s="643">
        <v>0</v>
      </c>
      <c r="D47" s="643">
        <v>54491.077331</v>
      </c>
      <c r="E47" s="644"/>
      <c r="F47" s="644"/>
      <c r="G47" s="644"/>
      <c r="H47" s="600">
        <f t="shared" si="4"/>
        <v>54491.077331</v>
      </c>
      <c r="J47" s="124"/>
    </row>
    <row r="48" spans="1:10">
      <c r="A48" s="599">
        <f t="shared" si="5"/>
        <v>36</v>
      </c>
      <c r="B48" s="477" t="s">
        <v>90</v>
      </c>
      <c r="C48" s="643">
        <v>0</v>
      </c>
      <c r="D48" s="643">
        <v>63985.461427000009</v>
      </c>
      <c r="E48" s="644"/>
      <c r="F48" s="644"/>
      <c r="G48" s="644"/>
      <c r="H48" s="600">
        <f t="shared" si="4"/>
        <v>63985.461427000009</v>
      </c>
      <c r="J48" s="124"/>
    </row>
    <row r="49" spans="1:10">
      <c r="A49" s="599">
        <f t="shared" si="5"/>
        <v>37</v>
      </c>
      <c r="B49" s="477" t="s">
        <v>83</v>
      </c>
      <c r="C49" s="643">
        <v>0</v>
      </c>
      <c r="D49" s="643">
        <v>68645.771742000012</v>
      </c>
      <c r="E49" s="644"/>
      <c r="F49" s="644"/>
      <c r="G49" s="644"/>
      <c r="H49" s="600">
        <f t="shared" si="4"/>
        <v>68645.771742000012</v>
      </c>
      <c r="J49" s="124"/>
    </row>
    <row r="50" spans="1:10">
      <c r="A50" s="599">
        <f t="shared" si="5"/>
        <v>38</v>
      </c>
      <c r="B50" s="477" t="s">
        <v>207</v>
      </c>
      <c r="C50" s="643">
        <v>0</v>
      </c>
      <c r="D50" s="643">
        <v>90647.178010999996</v>
      </c>
      <c r="E50" s="644"/>
      <c r="F50" s="644"/>
      <c r="G50" s="644"/>
      <c r="H50" s="600">
        <f t="shared" si="4"/>
        <v>90647.178010999996</v>
      </c>
      <c r="J50" s="124"/>
    </row>
    <row r="51" spans="1:10">
      <c r="A51" s="599">
        <f t="shared" si="5"/>
        <v>39</v>
      </c>
      <c r="B51" s="477" t="s">
        <v>531</v>
      </c>
      <c r="C51" s="601">
        <f>AVERAGE(C38:C50)</f>
        <v>1685911.6485114917</v>
      </c>
      <c r="D51" s="601">
        <f>AVERAGE(D38:D50)</f>
        <v>32135.414857923075</v>
      </c>
      <c r="E51" s="601"/>
      <c r="F51" s="601"/>
      <c r="G51" s="601"/>
      <c r="H51" s="601">
        <f>AVERAGE(H38:H50)</f>
        <v>1718047.0633694148</v>
      </c>
      <c r="J51" s="124"/>
    </row>
    <row r="52" spans="1:10" ht="18">
      <c r="B52" s="1008" t="str">
        <f>+'Attachment H-7'!D171</f>
        <v>PECO Energy Company</v>
      </c>
      <c r="C52" s="1008"/>
      <c r="D52" s="1008"/>
      <c r="E52" s="1008"/>
      <c r="F52" s="1008"/>
      <c r="G52" s="1008"/>
    </row>
    <row r="53" spans="1:10" ht="20.25">
      <c r="A53" s="853"/>
      <c r="B53" s="330"/>
      <c r="C53" s="331"/>
      <c r="D53" s="332"/>
      <c r="E53" s="203"/>
      <c r="F53" s="203"/>
      <c r="G53" s="203"/>
      <c r="H53" t="s">
        <v>161</v>
      </c>
    </row>
    <row r="54" spans="1:10">
      <c r="A54" s="1009" t="str">
        <f>+A3</f>
        <v>Attachment 4E - Cost to Achieve Mergers</v>
      </c>
      <c r="B54" s="1009"/>
      <c r="C54" s="1009"/>
      <c r="D54" s="1009"/>
      <c r="E54" s="1009"/>
      <c r="F54" s="1009"/>
      <c r="G54" s="203"/>
    </row>
    <row r="55" spans="1:10" ht="15.75">
      <c r="B55" s="627" t="s">
        <v>209</v>
      </c>
      <c r="C55" s="627" t="s">
        <v>210</v>
      </c>
      <c r="D55" s="627" t="s">
        <v>211</v>
      </c>
      <c r="E55" s="627" t="s">
        <v>212</v>
      </c>
      <c r="F55" s="627" t="s">
        <v>214</v>
      </c>
      <c r="G55" s="627" t="s">
        <v>958</v>
      </c>
      <c r="H55" s="627" t="s">
        <v>963</v>
      </c>
    </row>
    <row r="56" spans="1:10">
      <c r="A56" s="203"/>
      <c r="B56" s="826" t="s">
        <v>964</v>
      </c>
      <c r="C56" s="477" t="str">
        <f>C37</f>
        <v>Constellation Merger</v>
      </c>
      <c r="D56" s="477" t="str">
        <f>D37</f>
        <v>PHI Merger</v>
      </c>
      <c r="E56" s="477"/>
      <c r="F56" s="477"/>
      <c r="G56" s="477"/>
      <c r="H56" s="599" t="s">
        <v>13</v>
      </c>
    </row>
    <row r="57" spans="1:10">
      <c r="A57" s="599">
        <f>A51+1</f>
        <v>40</v>
      </c>
      <c r="B57" s="477" t="s">
        <v>206</v>
      </c>
      <c r="C57" s="601">
        <f t="shared" ref="C57:D69" si="6">C21-C38</f>
        <v>1972133.3975</v>
      </c>
      <c r="D57" s="601">
        <f t="shared" si="6"/>
        <v>43211.587600000006</v>
      </c>
      <c r="E57" s="601">
        <f t="shared" ref="E57:G69" si="7">E21-E38</f>
        <v>0</v>
      </c>
      <c r="F57" s="601">
        <f t="shared" si="7"/>
        <v>0</v>
      </c>
      <c r="G57" s="601">
        <f t="shared" si="7"/>
        <v>0</v>
      </c>
      <c r="H57" s="600">
        <f t="shared" ref="H57:H69" si="8">SUM(C57:G57)</f>
        <v>2015344.9850999999</v>
      </c>
    </row>
    <row r="58" spans="1:10">
      <c r="A58" s="599">
        <f>A57+1</f>
        <v>41</v>
      </c>
      <c r="B58" s="477" t="s">
        <v>89</v>
      </c>
      <c r="C58" s="601">
        <f t="shared" si="6"/>
        <v>1864863.5071179997</v>
      </c>
      <c r="D58" s="601">
        <f t="shared" si="6"/>
        <v>43889.165841999995</v>
      </c>
      <c r="E58" s="601">
        <f t="shared" si="7"/>
        <v>0</v>
      </c>
      <c r="F58" s="601">
        <f t="shared" si="7"/>
        <v>0</v>
      </c>
      <c r="G58" s="601">
        <f t="shared" si="7"/>
        <v>0</v>
      </c>
      <c r="H58" s="600">
        <f t="shared" si="8"/>
        <v>1908752.6729599996</v>
      </c>
    </row>
    <row r="59" spans="1:10">
      <c r="A59" s="599">
        <f t="shared" ref="A59:A70" si="9">A58+1</f>
        <v>42</v>
      </c>
      <c r="B59" s="477" t="s">
        <v>88</v>
      </c>
      <c r="C59" s="601">
        <f t="shared" si="6"/>
        <v>1742689.5979089988</v>
      </c>
      <c r="D59" s="601">
        <f t="shared" si="6"/>
        <v>43092.732884999998</v>
      </c>
      <c r="E59" s="601">
        <f t="shared" si="7"/>
        <v>0</v>
      </c>
      <c r="F59" s="601">
        <f t="shared" si="7"/>
        <v>0</v>
      </c>
      <c r="G59" s="601">
        <f t="shared" si="7"/>
        <v>0</v>
      </c>
      <c r="H59" s="600">
        <f t="shared" si="8"/>
        <v>1785782.3307939989</v>
      </c>
    </row>
    <row r="60" spans="1:10">
      <c r="A60" s="599">
        <f t="shared" si="9"/>
        <v>43</v>
      </c>
      <c r="B60" s="477" t="s">
        <v>178</v>
      </c>
      <c r="C60" s="601">
        <f t="shared" si="6"/>
        <v>625936.93263290264</v>
      </c>
      <c r="D60" s="601">
        <f t="shared" si="6"/>
        <v>61297.414512999996</v>
      </c>
      <c r="E60" s="601">
        <f t="shared" si="7"/>
        <v>0</v>
      </c>
      <c r="F60" s="601">
        <f t="shared" si="7"/>
        <v>0</v>
      </c>
      <c r="G60" s="601">
        <f t="shared" si="7"/>
        <v>0</v>
      </c>
      <c r="H60" s="600">
        <f t="shared" si="8"/>
        <v>687234.34714590269</v>
      </c>
    </row>
    <row r="61" spans="1:10">
      <c r="A61" s="599">
        <f t="shared" si="9"/>
        <v>44</v>
      </c>
      <c r="B61" s="477" t="s">
        <v>79</v>
      </c>
      <c r="C61" s="601">
        <f t="shared" si="6"/>
        <v>0</v>
      </c>
      <c r="D61" s="601">
        <f t="shared" si="6"/>
        <v>119770.86148299999</v>
      </c>
      <c r="E61" s="601">
        <f t="shared" si="7"/>
        <v>0</v>
      </c>
      <c r="F61" s="601">
        <f t="shared" si="7"/>
        <v>0</v>
      </c>
      <c r="G61" s="601">
        <f t="shared" si="7"/>
        <v>0</v>
      </c>
      <c r="H61" s="600">
        <f t="shared" si="8"/>
        <v>119770.86148299999</v>
      </c>
    </row>
    <row r="62" spans="1:10">
      <c r="A62" s="599">
        <f t="shared" si="9"/>
        <v>45</v>
      </c>
      <c r="B62" s="477" t="s">
        <v>78</v>
      </c>
      <c r="C62" s="601">
        <f t="shared" si="6"/>
        <v>0</v>
      </c>
      <c r="D62" s="601">
        <f t="shared" si="6"/>
        <v>134027.77016099999</v>
      </c>
      <c r="E62" s="601">
        <f t="shared" si="7"/>
        <v>0</v>
      </c>
      <c r="F62" s="601">
        <f t="shared" si="7"/>
        <v>0</v>
      </c>
      <c r="G62" s="601">
        <f t="shared" si="7"/>
        <v>0</v>
      </c>
      <c r="H62" s="600">
        <f t="shared" si="8"/>
        <v>134027.77016099999</v>
      </c>
    </row>
    <row r="63" spans="1:10">
      <c r="A63" s="599">
        <f t="shared" si="9"/>
        <v>46</v>
      </c>
      <c r="B63" s="477" t="s">
        <v>98</v>
      </c>
      <c r="C63" s="601">
        <f t="shared" si="6"/>
        <v>0</v>
      </c>
      <c r="D63" s="601">
        <f t="shared" si="6"/>
        <v>294159.99887299997</v>
      </c>
      <c r="E63" s="601">
        <f t="shared" si="7"/>
        <v>0</v>
      </c>
      <c r="F63" s="601">
        <f t="shared" si="7"/>
        <v>0</v>
      </c>
      <c r="G63" s="601">
        <f t="shared" si="7"/>
        <v>0</v>
      </c>
      <c r="H63" s="600">
        <f t="shared" si="8"/>
        <v>294159.99887299997</v>
      </c>
    </row>
    <row r="64" spans="1:10">
      <c r="A64" s="599">
        <f t="shared" si="9"/>
        <v>47</v>
      </c>
      <c r="B64" s="477" t="s">
        <v>86</v>
      </c>
      <c r="C64" s="601">
        <f t="shared" si="6"/>
        <v>0</v>
      </c>
      <c r="D64" s="601">
        <f t="shared" si="6"/>
        <v>295968.49725900003</v>
      </c>
      <c r="E64" s="601">
        <f t="shared" si="7"/>
        <v>0</v>
      </c>
      <c r="F64" s="601">
        <f t="shared" si="7"/>
        <v>0</v>
      </c>
      <c r="G64" s="601">
        <f t="shared" si="7"/>
        <v>0</v>
      </c>
      <c r="H64" s="600">
        <f t="shared" si="8"/>
        <v>295968.49725900003</v>
      </c>
    </row>
    <row r="65" spans="1:8">
      <c r="A65" s="599">
        <f t="shared" si="9"/>
        <v>48</v>
      </c>
      <c r="B65" s="477" t="s">
        <v>179</v>
      </c>
      <c r="C65" s="601">
        <f t="shared" si="6"/>
        <v>0</v>
      </c>
      <c r="D65" s="601">
        <f t="shared" si="6"/>
        <v>286465.94264000002</v>
      </c>
      <c r="E65" s="601">
        <f t="shared" si="7"/>
        <v>0</v>
      </c>
      <c r="F65" s="601">
        <f t="shared" si="7"/>
        <v>0</v>
      </c>
      <c r="G65" s="601">
        <f t="shared" si="7"/>
        <v>0</v>
      </c>
      <c r="H65" s="600">
        <f t="shared" si="8"/>
        <v>286465.94264000002</v>
      </c>
    </row>
    <row r="66" spans="1:8">
      <c r="A66" s="599">
        <f t="shared" si="9"/>
        <v>49</v>
      </c>
      <c r="B66" s="477" t="s">
        <v>84</v>
      </c>
      <c r="C66" s="601">
        <f t="shared" si="6"/>
        <v>0</v>
      </c>
      <c r="D66" s="601">
        <f t="shared" si="6"/>
        <v>493245.88540000003</v>
      </c>
      <c r="E66" s="601">
        <f t="shared" si="7"/>
        <v>0</v>
      </c>
      <c r="F66" s="601">
        <f t="shared" si="7"/>
        <v>0</v>
      </c>
      <c r="G66" s="601">
        <f t="shared" si="7"/>
        <v>0</v>
      </c>
      <c r="H66" s="600">
        <f t="shared" si="8"/>
        <v>493245.88540000003</v>
      </c>
    </row>
    <row r="67" spans="1:8">
      <c r="A67" s="599">
        <f t="shared" si="9"/>
        <v>50</v>
      </c>
      <c r="B67" s="477" t="s">
        <v>90</v>
      </c>
      <c r="C67" s="601">
        <f t="shared" si="6"/>
        <v>0</v>
      </c>
      <c r="D67" s="601">
        <f t="shared" si="6"/>
        <v>484004.72448500001</v>
      </c>
      <c r="E67" s="601">
        <f t="shared" si="7"/>
        <v>0</v>
      </c>
      <c r="F67" s="601">
        <f t="shared" si="7"/>
        <v>0</v>
      </c>
      <c r="G67" s="601">
        <f t="shared" si="7"/>
        <v>0</v>
      </c>
      <c r="H67" s="600">
        <f t="shared" si="8"/>
        <v>484004.72448500001</v>
      </c>
    </row>
    <row r="68" spans="1:8">
      <c r="A68" s="599">
        <f t="shared" si="9"/>
        <v>51</v>
      </c>
      <c r="B68" s="477" t="s">
        <v>83</v>
      </c>
      <c r="C68" s="601">
        <f t="shared" si="6"/>
        <v>0</v>
      </c>
      <c r="D68" s="601">
        <f t="shared" si="6"/>
        <v>481357.34896900004</v>
      </c>
      <c r="E68" s="601">
        <f t="shared" si="7"/>
        <v>0</v>
      </c>
      <c r="F68" s="601">
        <f t="shared" si="7"/>
        <v>0</v>
      </c>
      <c r="G68" s="601">
        <f t="shared" si="7"/>
        <v>0</v>
      </c>
      <c r="H68" s="600">
        <f t="shared" si="8"/>
        <v>481357.34896900004</v>
      </c>
    </row>
    <row r="69" spans="1:8">
      <c r="A69" s="599">
        <f t="shared" si="9"/>
        <v>52</v>
      </c>
      <c r="B69" s="477" t="s">
        <v>207</v>
      </c>
      <c r="C69" s="601">
        <f t="shared" si="6"/>
        <v>0</v>
      </c>
      <c r="D69" s="601">
        <f t="shared" si="6"/>
        <v>630268.66043599998</v>
      </c>
      <c r="E69" s="601">
        <f t="shared" si="7"/>
        <v>0</v>
      </c>
      <c r="F69" s="601">
        <f t="shared" si="7"/>
        <v>0</v>
      </c>
      <c r="G69" s="601">
        <f t="shared" si="7"/>
        <v>0</v>
      </c>
      <c r="H69" s="600">
        <f t="shared" si="8"/>
        <v>630268.66043599998</v>
      </c>
    </row>
    <row r="70" spans="1:8">
      <c r="A70" s="599">
        <f t="shared" si="9"/>
        <v>53</v>
      </c>
      <c r="B70" s="477" t="s">
        <v>531</v>
      </c>
      <c r="C70" s="601">
        <f>C34-C51</f>
        <v>477355.64885845361</v>
      </c>
      <c r="D70" s="601">
        <f>AVERAGE(D57:D69)</f>
        <v>262366.19927276921</v>
      </c>
      <c r="E70" s="601">
        <f>AVERAGE(E57:E69)</f>
        <v>0</v>
      </c>
      <c r="F70" s="601">
        <f>AVERAGE(F57:F69)</f>
        <v>0</v>
      </c>
      <c r="G70" s="601">
        <f>AVERAGE(G57:G69)</f>
        <v>0</v>
      </c>
      <c r="H70" s="601">
        <f>AVERAGE(H57:H69)</f>
        <v>739721.84813122323</v>
      </c>
    </row>
    <row r="71" spans="1:8">
      <c r="A71" s="203"/>
    </row>
    <row r="72" spans="1:8">
      <c r="A72" s="203"/>
    </row>
    <row r="73" spans="1:8">
      <c r="A73" s="203"/>
      <c r="B73" s="602" t="s">
        <v>959</v>
      </c>
      <c r="C73" s="477" t="str">
        <f>C56</f>
        <v>Constellation Merger</v>
      </c>
      <c r="D73" s="477" t="str">
        <f>D56</f>
        <v>PHI Merger</v>
      </c>
      <c r="H73" s="599" t="s">
        <v>13</v>
      </c>
    </row>
    <row r="74" spans="1:8">
      <c r="A74" s="599">
        <f>A70+1</f>
        <v>54</v>
      </c>
      <c r="B74" s="477" t="s">
        <v>89</v>
      </c>
      <c r="C74" s="601">
        <f>C39-C38</f>
        <v>107269.93765600026</v>
      </c>
      <c r="D74" s="601">
        <f>D39-D38</f>
        <v>883.73227700000007</v>
      </c>
      <c r="H74" s="600">
        <f t="shared" ref="H74:H86" si="10">SUM(C74:G74)</f>
        <v>108153.66993300026</v>
      </c>
    </row>
    <row r="75" spans="1:8">
      <c r="A75" s="599">
        <f t="shared" ref="A75:A86" si="11">A74+1</f>
        <v>55</v>
      </c>
      <c r="B75" s="477" t="s">
        <v>88</v>
      </c>
      <c r="C75" s="601">
        <f>C40-C39</f>
        <v>122173.90920900088</v>
      </c>
      <c r="D75" s="601">
        <f>D40-D39</f>
        <v>764.52300699999978</v>
      </c>
      <c r="H75" s="600">
        <f t="shared" si="10"/>
        <v>122938.43221600087</v>
      </c>
    </row>
    <row r="76" spans="1:8">
      <c r="A76" s="599">
        <f t="shared" si="11"/>
        <v>56</v>
      </c>
      <c r="B76" s="477" t="s">
        <v>178</v>
      </c>
      <c r="C76" s="601">
        <f>(C41*31/12-C40)*12/31</f>
        <v>37842.684503225311</v>
      </c>
      <c r="D76" s="601">
        <f t="shared" ref="D76:D85" si="12">D41-D40</f>
        <v>3653.7523070000016</v>
      </c>
      <c r="H76" s="600">
        <f t="shared" si="10"/>
        <v>41496.436810225314</v>
      </c>
    </row>
    <row r="77" spans="1:8">
      <c r="A77" s="599">
        <f t="shared" si="11"/>
        <v>57</v>
      </c>
      <c r="B77" s="477" t="s">
        <v>79</v>
      </c>
      <c r="C77" s="601">
        <f>C42-C41*0</f>
        <v>0</v>
      </c>
      <c r="D77" s="601">
        <f t="shared" si="12"/>
        <v>3091.4674719999985</v>
      </c>
      <c r="H77" s="600">
        <f t="shared" si="10"/>
        <v>3091.4674719999985</v>
      </c>
    </row>
    <row r="78" spans="1:8">
      <c r="A78" s="599">
        <f t="shared" si="11"/>
        <v>58</v>
      </c>
      <c r="B78" s="477" t="s">
        <v>78</v>
      </c>
      <c r="C78" s="601">
        <f t="shared" ref="C78:C85" si="13">C43-C42</f>
        <v>0</v>
      </c>
      <c r="D78" s="601">
        <f t="shared" si="12"/>
        <v>2238.4160210000027</v>
      </c>
      <c r="H78" s="600">
        <f t="shared" si="10"/>
        <v>2238.4160210000027</v>
      </c>
    </row>
    <row r="79" spans="1:8">
      <c r="A79" s="599">
        <f t="shared" si="11"/>
        <v>59</v>
      </c>
      <c r="B79" s="477" t="s">
        <v>98</v>
      </c>
      <c r="C79" s="601">
        <f t="shared" si="13"/>
        <v>0</v>
      </c>
      <c r="D79" s="601">
        <f t="shared" si="12"/>
        <v>9378.066418999997</v>
      </c>
      <c r="H79" s="600">
        <f t="shared" si="10"/>
        <v>9378.066418999997</v>
      </c>
    </row>
    <row r="80" spans="1:8">
      <c r="A80" s="599">
        <f t="shared" si="11"/>
        <v>60</v>
      </c>
      <c r="B80" s="477" t="s">
        <v>86</v>
      </c>
      <c r="C80" s="601">
        <f t="shared" si="13"/>
        <v>0</v>
      </c>
      <c r="D80" s="601">
        <f t="shared" si="12"/>
        <v>5089.2745910000012</v>
      </c>
      <c r="H80" s="600">
        <f t="shared" si="10"/>
        <v>5089.2745910000012</v>
      </c>
    </row>
    <row r="81" spans="1:8">
      <c r="A81" s="599">
        <f t="shared" si="11"/>
        <v>61</v>
      </c>
      <c r="B81" s="477" t="s">
        <v>179</v>
      </c>
      <c r="C81" s="601">
        <f t="shared" si="13"/>
        <v>0</v>
      </c>
      <c r="D81" s="601">
        <f t="shared" si="12"/>
        <v>4453.9041520000064</v>
      </c>
      <c r="H81" s="600">
        <f t="shared" si="10"/>
        <v>4453.9041520000064</v>
      </c>
    </row>
    <row r="82" spans="1:8">
      <c r="A82" s="599">
        <f t="shared" si="11"/>
        <v>62</v>
      </c>
      <c r="B82" s="477" t="s">
        <v>84</v>
      </c>
      <c r="C82" s="601">
        <f t="shared" si="13"/>
        <v>0</v>
      </c>
      <c r="D82" s="601">
        <f t="shared" si="12"/>
        <v>20663.583584999993</v>
      </c>
      <c r="H82" s="600">
        <f t="shared" si="10"/>
        <v>20663.583584999993</v>
      </c>
    </row>
    <row r="83" spans="1:8">
      <c r="A83" s="599">
        <f t="shared" si="11"/>
        <v>63</v>
      </c>
      <c r="B83" s="477" t="s">
        <v>90</v>
      </c>
      <c r="C83" s="601">
        <f t="shared" si="13"/>
        <v>0</v>
      </c>
      <c r="D83" s="601">
        <f t="shared" si="12"/>
        <v>9494.3840960000089</v>
      </c>
      <c r="H83" s="600">
        <f t="shared" si="10"/>
        <v>9494.3840960000089</v>
      </c>
    </row>
    <row r="84" spans="1:8">
      <c r="A84" s="599">
        <f t="shared" si="11"/>
        <v>64</v>
      </c>
      <c r="B84" s="477" t="s">
        <v>83</v>
      </c>
      <c r="C84" s="601">
        <f t="shared" si="13"/>
        <v>0</v>
      </c>
      <c r="D84" s="601">
        <f t="shared" si="12"/>
        <v>4660.3103150000024</v>
      </c>
      <c r="H84" s="600">
        <f t="shared" si="10"/>
        <v>4660.3103150000024</v>
      </c>
    </row>
    <row r="85" spans="1:8">
      <c r="A85" s="599">
        <f t="shared" si="11"/>
        <v>65</v>
      </c>
      <c r="B85" s="477" t="s">
        <v>207</v>
      </c>
      <c r="C85" s="601">
        <f t="shared" si="13"/>
        <v>0</v>
      </c>
      <c r="D85" s="601">
        <f t="shared" si="12"/>
        <v>22001.406268999985</v>
      </c>
      <c r="H85" s="600">
        <f t="shared" si="10"/>
        <v>22001.406268999985</v>
      </c>
    </row>
    <row r="86" spans="1:8">
      <c r="A86" s="599">
        <f t="shared" si="11"/>
        <v>66</v>
      </c>
      <c r="B86" s="477" t="s">
        <v>13</v>
      </c>
      <c r="C86" s="601">
        <f>SUM(C74:C85)</f>
        <v>267286.53136822645</v>
      </c>
      <c r="D86" s="601">
        <f>SUM(D74:D85)</f>
        <v>86372.820510999998</v>
      </c>
      <c r="H86" s="600">
        <f t="shared" si="10"/>
        <v>353659.35187922645</v>
      </c>
    </row>
    <row r="87" spans="1:8">
      <c r="H87" s="601"/>
    </row>
  </sheetData>
  <mergeCells count="4">
    <mergeCell ref="A1:F1"/>
    <mergeCell ref="A3:F3"/>
    <mergeCell ref="A54:F54"/>
    <mergeCell ref="B52:G52"/>
  </mergeCells>
  <pageMargins left="0.7" right="0.7" top="0.75" bottom="0.75" header="0.3" footer="0.3"/>
  <pageSetup scale="55" fitToHeight="2" orientation="landscape" r:id="rId1"/>
  <rowBreaks count="1" manualBreakCount="1">
    <brk id="5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view="pageBreakPreview" topLeftCell="D31" zoomScale="90" zoomScaleNormal="100" zoomScaleSheetLayoutView="90" workbookViewId="0">
      <selection activeCell="F43" sqref="F43"/>
    </sheetView>
  </sheetViews>
  <sheetFormatPr defaultColWidth="14" defaultRowHeight="12.75"/>
  <cols>
    <col min="1" max="1" width="5.77734375" style="365" bestFit="1" customWidth="1"/>
    <col min="2" max="2" width="23.6640625" style="116" customWidth="1"/>
    <col min="3" max="3" width="16.77734375" style="116" customWidth="1"/>
    <col min="4" max="4" width="16.33203125" style="116" customWidth="1"/>
    <col min="5" max="5" width="18.88671875" style="116" customWidth="1"/>
    <col min="6" max="6" width="15.44140625" style="116" customWidth="1"/>
    <col min="7" max="7" width="13.21875" style="116" customWidth="1"/>
    <col min="8" max="8" width="12.44140625" style="116" bestFit="1" customWidth="1"/>
    <col min="9" max="9" width="17.6640625" style="116" bestFit="1" customWidth="1"/>
    <col min="10" max="10" width="15" style="116" customWidth="1"/>
    <col min="11" max="11" width="12.5546875" style="116" bestFit="1" customWidth="1"/>
    <col min="12" max="12" width="13.21875" style="116" customWidth="1"/>
    <col min="13" max="13" width="12.77734375" style="116" customWidth="1"/>
    <col min="14" max="14" width="14" style="116"/>
    <col min="15" max="15" width="10" style="116" bestFit="1" customWidth="1"/>
    <col min="16" max="16384" width="14" style="116"/>
  </cols>
  <sheetData>
    <row r="1" spans="1:15">
      <c r="G1" s="364" t="s">
        <v>202</v>
      </c>
      <c r="M1" s="366" t="s">
        <v>465</v>
      </c>
    </row>
    <row r="2" spans="1:15" ht="15" customHeight="1">
      <c r="G2" s="164" t="s">
        <v>428</v>
      </c>
    </row>
    <row r="3" spans="1:15">
      <c r="D3" s="9"/>
      <c r="E3" s="9"/>
      <c r="F3" s="9"/>
      <c r="G3" s="225" t="str">
        <f>+'Attachment H-7'!D5</f>
        <v>PECO Energy Company</v>
      </c>
      <c r="H3" s="9"/>
      <c r="J3" s="9"/>
      <c r="K3" s="9"/>
      <c r="L3" s="9"/>
      <c r="M3" s="9"/>
      <c r="N3" s="9"/>
    </row>
    <row r="4" spans="1:15">
      <c r="B4" s="8"/>
    </row>
    <row r="6" spans="1:15" s="368" customFormat="1" ht="69.75" customHeight="1">
      <c r="A6" s="367" t="s">
        <v>162</v>
      </c>
      <c r="B6" s="81" t="s">
        <v>174</v>
      </c>
      <c r="C6" s="81" t="s">
        <v>292</v>
      </c>
      <c r="D6" s="81" t="s">
        <v>260</v>
      </c>
      <c r="E6" s="81" t="s">
        <v>261</v>
      </c>
      <c r="F6" s="81" t="s">
        <v>722</v>
      </c>
      <c r="G6" s="81" t="s">
        <v>293</v>
      </c>
      <c r="H6" s="205" t="s">
        <v>346</v>
      </c>
      <c r="I6" s="81" t="s">
        <v>294</v>
      </c>
      <c r="J6" s="81" t="s">
        <v>840</v>
      </c>
      <c r="O6" s="176"/>
    </row>
    <row r="7" spans="1:15" s="368" customFormat="1">
      <c r="A7" s="367"/>
      <c r="B7" s="81"/>
      <c r="C7" s="79" t="s">
        <v>209</v>
      </c>
      <c r="D7" s="369" t="s">
        <v>210</v>
      </c>
      <c r="E7" s="369" t="s">
        <v>211</v>
      </c>
      <c r="F7" s="370" t="s">
        <v>212</v>
      </c>
      <c r="G7" s="156" t="s">
        <v>214</v>
      </c>
      <c r="H7" s="164" t="s">
        <v>213</v>
      </c>
      <c r="I7" s="164" t="s">
        <v>215</v>
      </c>
      <c r="J7" s="156" t="s">
        <v>216</v>
      </c>
      <c r="O7" s="176"/>
    </row>
    <row r="8" spans="1:15" ht="25.5" customHeight="1">
      <c r="A8" s="162"/>
      <c r="B8" s="204" t="s">
        <v>348</v>
      </c>
      <c r="C8" s="79">
        <v>1</v>
      </c>
      <c r="D8" s="79">
        <v>2</v>
      </c>
      <c r="E8" s="79">
        <v>3</v>
      </c>
      <c r="F8" s="79"/>
      <c r="G8" s="79">
        <v>11</v>
      </c>
      <c r="H8" s="79">
        <v>12</v>
      </c>
      <c r="I8" s="79">
        <v>16</v>
      </c>
      <c r="J8" s="79"/>
      <c r="O8" s="177"/>
    </row>
    <row r="9" spans="1:15" s="371" customFormat="1" ht="24.75" customHeight="1">
      <c r="A9" s="162"/>
      <c r="B9" s="157" t="s">
        <v>429</v>
      </c>
      <c r="C9" s="164" t="s">
        <v>430</v>
      </c>
      <c r="D9" s="164" t="s">
        <v>431</v>
      </c>
      <c r="E9" s="164" t="s">
        <v>432</v>
      </c>
      <c r="F9" s="337" t="s">
        <v>723</v>
      </c>
      <c r="G9" s="337" t="s">
        <v>433</v>
      </c>
      <c r="H9" s="337" t="s">
        <v>434</v>
      </c>
      <c r="I9" s="164" t="s">
        <v>435</v>
      </c>
      <c r="J9" s="164" t="s">
        <v>881</v>
      </c>
      <c r="O9" s="178"/>
    </row>
    <row r="10" spans="1:15" s="371" customFormat="1">
      <c r="A10" s="162"/>
      <c r="B10" s="157"/>
      <c r="F10" s="164"/>
      <c r="J10" s="164"/>
      <c r="O10" s="178"/>
    </row>
    <row r="11" spans="1:15">
      <c r="A11" s="162"/>
      <c r="B11" s="372"/>
      <c r="C11" s="79"/>
      <c r="D11" s="79"/>
      <c r="E11" s="79"/>
      <c r="F11" s="79"/>
      <c r="G11" s="79"/>
      <c r="H11" s="79"/>
      <c r="I11" s="79"/>
      <c r="J11" s="79"/>
      <c r="O11" s="177"/>
    </row>
    <row r="12" spans="1:15">
      <c r="A12" s="162" t="s">
        <v>257</v>
      </c>
      <c r="B12" s="375" t="s">
        <v>13</v>
      </c>
      <c r="C12" s="701">
        <v>184929330</v>
      </c>
      <c r="D12" s="702">
        <v>11680412</v>
      </c>
      <c r="E12" s="702">
        <v>0</v>
      </c>
      <c r="F12" s="702">
        <f>63314820+72966217</f>
        <v>136281037</v>
      </c>
      <c r="G12" s="702">
        <v>0</v>
      </c>
      <c r="H12" s="939">
        <f>D12-G12</f>
        <v>11680412</v>
      </c>
      <c r="I12" s="702">
        <v>23761763</v>
      </c>
      <c r="J12" s="702">
        <f>10829803+12931790</f>
        <v>23761593</v>
      </c>
      <c r="O12" s="179"/>
    </row>
    <row r="13" spans="1:15">
      <c r="A13" s="162"/>
      <c r="B13" s="373"/>
      <c r="C13" s="373"/>
      <c r="D13" s="373"/>
      <c r="E13" s="373"/>
      <c r="F13" s="373"/>
      <c r="G13" s="373"/>
      <c r="H13" s="373"/>
      <c r="I13" s="373"/>
      <c r="J13" s="373"/>
      <c r="N13" s="373"/>
      <c r="O13" s="180"/>
    </row>
    <row r="14" spans="1:15">
      <c r="A14" s="162"/>
      <c r="B14" s="373"/>
      <c r="C14" s="373"/>
      <c r="D14" s="373"/>
      <c r="E14" s="373"/>
      <c r="F14" s="373"/>
      <c r="G14" s="373"/>
      <c r="H14" s="373"/>
      <c r="I14" s="373"/>
      <c r="J14" s="373"/>
      <c r="N14" s="373"/>
      <c r="O14" s="180"/>
    </row>
    <row r="15" spans="1:15" ht="63.75">
      <c r="A15" s="162"/>
      <c r="C15" s="81" t="s">
        <v>695</v>
      </c>
      <c r="D15" s="368" t="s">
        <v>262</v>
      </c>
      <c r="E15" s="81" t="s">
        <v>295</v>
      </c>
      <c r="F15" s="368" t="s">
        <v>882</v>
      </c>
      <c r="G15" s="81" t="s">
        <v>296</v>
      </c>
      <c r="H15" s="81" t="s">
        <v>256</v>
      </c>
      <c r="I15" s="81" t="s">
        <v>883</v>
      </c>
      <c r="J15" s="81" t="s">
        <v>1132</v>
      </c>
      <c r="K15" s="81" t="s">
        <v>885</v>
      </c>
      <c r="L15" s="81" t="s">
        <v>182</v>
      </c>
      <c r="M15" s="81" t="s">
        <v>299</v>
      </c>
      <c r="N15" s="373"/>
      <c r="O15" s="181"/>
    </row>
    <row r="16" spans="1:15">
      <c r="A16" s="162"/>
      <c r="C16" s="79" t="s">
        <v>209</v>
      </c>
      <c r="D16" s="369" t="s">
        <v>210</v>
      </c>
      <c r="E16" s="369" t="s">
        <v>211</v>
      </c>
      <c r="F16" s="370" t="s">
        <v>212</v>
      </c>
      <c r="G16" s="370" t="s">
        <v>214</v>
      </c>
      <c r="H16" s="370" t="s">
        <v>213</v>
      </c>
      <c r="I16" s="370" t="s">
        <v>215</v>
      </c>
      <c r="J16" s="156" t="s">
        <v>216</v>
      </c>
      <c r="K16" s="156" t="s">
        <v>217</v>
      </c>
      <c r="L16" s="164" t="s">
        <v>259</v>
      </c>
      <c r="M16" s="164" t="s">
        <v>263</v>
      </c>
      <c r="N16" s="373"/>
      <c r="O16" s="181"/>
    </row>
    <row r="17" spans="1:15">
      <c r="A17" s="162"/>
      <c r="B17" s="204" t="s">
        <v>321</v>
      </c>
      <c r="C17" s="79">
        <v>17</v>
      </c>
      <c r="D17" s="162">
        <v>19</v>
      </c>
      <c r="E17" s="79">
        <v>23</v>
      </c>
      <c r="F17" s="79">
        <v>24</v>
      </c>
      <c r="G17" s="79">
        <v>26</v>
      </c>
      <c r="H17" s="79">
        <v>27</v>
      </c>
      <c r="I17" s="79">
        <v>28</v>
      </c>
      <c r="J17" s="79">
        <v>29</v>
      </c>
      <c r="K17" s="157">
        <v>37</v>
      </c>
      <c r="L17" s="79">
        <v>38</v>
      </c>
      <c r="M17" s="79">
        <v>39</v>
      </c>
      <c r="N17" s="373"/>
      <c r="O17" s="181"/>
    </row>
    <row r="18" spans="1:15">
      <c r="A18" s="162"/>
      <c r="B18" s="157" t="s">
        <v>429</v>
      </c>
      <c r="C18" s="337" t="s">
        <v>696</v>
      </c>
      <c r="D18" s="164" t="s">
        <v>436</v>
      </c>
      <c r="E18" s="164" t="s">
        <v>1174</v>
      </c>
      <c r="F18" s="164"/>
      <c r="G18" s="164" t="s">
        <v>1175</v>
      </c>
      <c r="H18" s="164" t="s">
        <v>1177</v>
      </c>
      <c r="I18" s="164" t="s">
        <v>1176</v>
      </c>
      <c r="J18" s="164" t="s">
        <v>1178</v>
      </c>
      <c r="K18" s="116" t="s">
        <v>884</v>
      </c>
      <c r="L18" s="164" t="s">
        <v>254</v>
      </c>
      <c r="M18" s="164" t="s">
        <v>437</v>
      </c>
      <c r="N18" s="373"/>
      <c r="O18" s="181"/>
    </row>
    <row r="19" spans="1:15" s="371" customFormat="1">
      <c r="A19" s="162"/>
      <c r="B19" s="157"/>
      <c r="N19" s="164"/>
    </row>
    <row r="20" spans="1:15">
      <c r="A20" s="162"/>
      <c r="C20" s="79"/>
      <c r="E20" s="79"/>
      <c r="F20" s="79"/>
      <c r="G20" s="79"/>
      <c r="H20" s="79"/>
      <c r="I20" s="79"/>
      <c r="J20" s="79"/>
      <c r="K20" s="79"/>
      <c r="L20" s="79"/>
      <c r="M20" s="79"/>
      <c r="N20" s="373"/>
    </row>
    <row r="21" spans="1:15">
      <c r="A21" s="162" t="s">
        <v>172</v>
      </c>
      <c r="B21" s="375" t="s">
        <v>13</v>
      </c>
      <c r="C21" s="702">
        <f>14965330</f>
        <v>14965330</v>
      </c>
      <c r="D21" s="702">
        <v>0</v>
      </c>
      <c r="E21" s="702">
        <f>56301+11294539+441221</f>
        <v>11792061</v>
      </c>
      <c r="F21" s="702">
        <v>0</v>
      </c>
      <c r="G21" s="702">
        <f>4206782+6532674</f>
        <v>10739456</v>
      </c>
      <c r="H21" s="702">
        <f>126186643-1137530</f>
        <v>125049113</v>
      </c>
      <c r="I21" s="702">
        <v>484130</v>
      </c>
      <c r="J21" s="702">
        <v>3262</v>
      </c>
      <c r="K21" s="702">
        <v>5342.5814940355485</v>
      </c>
      <c r="L21" s="702"/>
      <c r="M21" s="702">
        <v>356305.2305774226</v>
      </c>
      <c r="N21" s="373"/>
    </row>
    <row r="22" spans="1:15">
      <c r="A22" s="162"/>
      <c r="B22" s="541"/>
      <c r="C22" s="119"/>
      <c r="D22" s="119"/>
      <c r="E22" s="119"/>
      <c r="F22" s="119"/>
      <c r="G22" s="119"/>
      <c r="H22" s="119"/>
      <c r="I22" s="119"/>
      <c r="J22" s="119"/>
      <c r="K22" s="119"/>
      <c r="L22" s="119"/>
      <c r="M22" s="119"/>
      <c r="N22" s="373"/>
    </row>
    <row r="23" spans="1:15">
      <c r="B23" s="373"/>
      <c r="C23" s="373"/>
      <c r="D23" s="373"/>
      <c r="E23" s="373"/>
      <c r="F23" s="373"/>
      <c r="G23" s="79" t="s">
        <v>202</v>
      </c>
      <c r="H23" s="373"/>
      <c r="I23" s="373"/>
      <c r="J23" s="373"/>
      <c r="M23" s="366" t="s">
        <v>161</v>
      </c>
      <c r="N23" s="373"/>
      <c r="O23" s="376"/>
    </row>
    <row r="24" spans="1:15">
      <c r="B24" s="373"/>
      <c r="C24" s="373"/>
      <c r="D24" s="373"/>
      <c r="E24" s="373"/>
      <c r="F24" s="373"/>
      <c r="G24" s="79" t="s">
        <v>428</v>
      </c>
      <c r="H24" s="373"/>
      <c r="I24" s="373"/>
      <c r="J24" s="373"/>
      <c r="N24" s="373"/>
      <c r="O24" s="376"/>
    </row>
    <row r="25" spans="1:15" ht="15.75">
      <c r="A25" s="547"/>
      <c r="B25" s="548"/>
      <c r="C25" s="548"/>
      <c r="D25" s="548"/>
      <c r="E25" s="548"/>
      <c r="F25" s="548"/>
      <c r="G25" s="549" t="str">
        <f>+G3</f>
        <v>PECO Energy Company</v>
      </c>
      <c r="H25" s="548"/>
      <c r="I25" s="548"/>
      <c r="J25" s="548"/>
      <c r="K25" s="550"/>
      <c r="L25" s="550"/>
      <c r="M25" s="550"/>
      <c r="N25" s="373"/>
      <c r="O25" s="376"/>
    </row>
    <row r="26" spans="1:15">
      <c r="B26" s="373"/>
      <c r="C26" s="373"/>
      <c r="D26" s="373"/>
      <c r="E26" s="373"/>
      <c r="F26" s="373"/>
      <c r="G26" s="373"/>
      <c r="H26" s="373"/>
      <c r="I26" s="373"/>
      <c r="J26" s="373"/>
      <c r="N26" s="373"/>
      <c r="O26" s="376"/>
    </row>
    <row r="27" spans="1:15">
      <c r="B27" s="373"/>
      <c r="C27" s="373"/>
      <c r="D27" s="373"/>
      <c r="E27" s="373"/>
      <c r="F27" s="373"/>
      <c r="G27" s="373"/>
      <c r="H27" s="373"/>
      <c r="I27" s="373"/>
      <c r="J27" s="373"/>
      <c r="N27" s="373"/>
      <c r="O27" s="376"/>
    </row>
    <row r="28" spans="1:15" ht="13.5" thickBot="1">
      <c r="A28" s="161"/>
      <c r="B28" s="82"/>
      <c r="C28" s="8"/>
      <c r="D28" s="542"/>
      <c r="E28" s="542"/>
      <c r="F28" s="542"/>
      <c r="G28" s="542"/>
      <c r="H28" s="542"/>
      <c r="I28" s="542"/>
      <c r="J28" s="543" t="s">
        <v>47</v>
      </c>
      <c r="K28" s="377"/>
      <c r="L28" s="8"/>
      <c r="N28" s="378"/>
      <c r="O28" s="378"/>
    </row>
    <row r="29" spans="1:15">
      <c r="A29" s="161">
        <f>+A21+1</f>
        <v>3</v>
      </c>
      <c r="B29" s="82"/>
      <c r="C29" s="8"/>
      <c r="D29" s="542" t="s">
        <v>322</v>
      </c>
      <c r="E29" s="542"/>
      <c r="F29" s="542"/>
      <c r="G29" s="542"/>
      <c r="H29" s="542"/>
      <c r="I29" s="542"/>
      <c r="J29" s="569">
        <f>111297602+2177370+819633+11942535</f>
        <v>126237140</v>
      </c>
      <c r="N29" s="373"/>
      <c r="O29" s="373"/>
    </row>
    <row r="30" spans="1:15">
      <c r="A30" s="161"/>
      <c r="B30" s="82"/>
      <c r="C30" s="8"/>
      <c r="D30" s="542"/>
      <c r="E30" s="542"/>
      <c r="F30" s="542"/>
      <c r="G30" s="542"/>
      <c r="H30" s="542"/>
      <c r="I30" s="542"/>
      <c r="J30" s="96"/>
      <c r="N30" s="373"/>
      <c r="O30" s="373"/>
    </row>
    <row r="31" spans="1:15">
      <c r="A31" s="161">
        <f>+A29+1</f>
        <v>4</v>
      </c>
      <c r="B31" s="82"/>
      <c r="C31" s="8"/>
      <c r="D31" s="542" t="s">
        <v>323</v>
      </c>
      <c r="E31" s="542"/>
      <c r="F31" s="542"/>
      <c r="G31" s="542"/>
      <c r="H31" s="542"/>
      <c r="I31" s="542"/>
      <c r="J31" s="569">
        <v>0</v>
      </c>
      <c r="N31" s="373"/>
      <c r="O31" s="373"/>
    </row>
    <row r="32" spans="1:15">
      <c r="A32" s="161"/>
      <c r="B32" s="82"/>
      <c r="C32" s="8"/>
      <c r="D32" s="542"/>
      <c r="E32" s="542"/>
      <c r="F32" s="542"/>
      <c r="G32" s="542"/>
      <c r="H32" s="542"/>
      <c r="I32" s="542"/>
      <c r="J32" s="96"/>
    </row>
    <row r="33" spans="1:12">
      <c r="A33" s="161">
        <f>+A31+1</f>
        <v>5</v>
      </c>
      <c r="B33" s="82"/>
      <c r="C33" s="8"/>
      <c r="D33" s="542" t="s">
        <v>324</v>
      </c>
      <c r="E33" s="544"/>
      <c r="F33" s="542"/>
      <c r="G33" s="542"/>
      <c r="H33" s="542"/>
      <c r="I33" s="542"/>
      <c r="J33" s="569">
        <v>3514768606.1438274</v>
      </c>
    </row>
    <row r="34" spans="1:12">
      <c r="A34" s="161">
        <f>+A33+1</f>
        <v>6</v>
      </c>
      <c r="B34" s="82"/>
      <c r="C34" s="8"/>
      <c r="D34" s="542" t="s">
        <v>974</v>
      </c>
      <c r="E34" s="542"/>
      <c r="F34" s="542"/>
      <c r="G34" s="542"/>
      <c r="H34" s="542"/>
      <c r="I34" s="542"/>
      <c r="J34" s="545">
        <v>0</v>
      </c>
    </row>
    <row r="35" spans="1:12">
      <c r="A35" s="161">
        <f>+A34+1</f>
        <v>7</v>
      </c>
      <c r="B35" s="82"/>
      <c r="C35" s="8"/>
      <c r="D35" s="542" t="s">
        <v>758</v>
      </c>
      <c r="E35" s="542"/>
      <c r="F35" s="542"/>
      <c r="G35" s="542"/>
      <c r="H35" s="542"/>
      <c r="I35" s="542"/>
      <c r="J35" s="569">
        <v>0</v>
      </c>
    </row>
    <row r="36" spans="1:12" ht="13.5" thickBot="1">
      <c r="A36" s="161">
        <f>+A35+1</f>
        <v>8</v>
      </c>
      <c r="B36" s="82"/>
      <c r="C36" s="8"/>
      <c r="D36" s="542" t="s">
        <v>692</v>
      </c>
      <c r="E36" s="542"/>
      <c r="F36" s="542"/>
      <c r="G36" s="542"/>
      <c r="H36" s="542"/>
      <c r="I36" s="542"/>
      <c r="J36" s="589">
        <v>-1192695.7576923077</v>
      </c>
    </row>
    <row r="37" spans="1:12">
      <c r="A37" s="161">
        <f>+A36+1</f>
        <v>9</v>
      </c>
      <c r="B37" s="82"/>
      <c r="C37" s="8"/>
      <c r="D37" s="542" t="s">
        <v>325</v>
      </c>
      <c r="E37" s="544" t="s">
        <v>461</v>
      </c>
      <c r="F37" s="544"/>
      <c r="G37" s="544"/>
      <c r="H37" s="546"/>
      <c r="I37" s="544"/>
      <c r="J37" s="96">
        <f>+J33-J34+J35+J36</f>
        <v>3513575910.3861351</v>
      </c>
    </row>
    <row r="38" spans="1:12">
      <c r="A38" s="161"/>
      <c r="B38" s="82"/>
      <c r="C38" s="8"/>
      <c r="J38" s="96"/>
    </row>
    <row r="39" spans="1:12">
      <c r="A39" s="161"/>
      <c r="B39" s="82"/>
      <c r="C39" s="8"/>
      <c r="F39" s="8"/>
      <c r="G39" s="8"/>
      <c r="H39" s="8"/>
      <c r="I39" s="8"/>
      <c r="J39" s="8"/>
      <c r="K39" s="377"/>
      <c r="L39" s="8"/>
    </row>
    <row r="40" spans="1:12">
      <c r="A40" s="161"/>
      <c r="B40" s="9"/>
      <c r="C40" s="8"/>
      <c r="F40" s="8"/>
      <c r="G40" s="8"/>
      <c r="H40" s="8"/>
      <c r="I40" s="104" t="s">
        <v>55</v>
      </c>
      <c r="J40" s="8"/>
      <c r="K40" s="8"/>
      <c r="L40" s="8"/>
    </row>
    <row r="41" spans="1:12" ht="13.5" thickBot="1">
      <c r="A41" s="161"/>
      <c r="B41" s="9"/>
      <c r="C41" s="8"/>
      <c r="F41" s="379" t="s">
        <v>47</v>
      </c>
      <c r="G41" s="379" t="s">
        <v>56</v>
      </c>
      <c r="H41" s="8"/>
      <c r="I41" s="534"/>
      <c r="J41" s="8"/>
      <c r="K41" s="379" t="s">
        <v>57</v>
      </c>
      <c r="L41" s="8"/>
    </row>
    <row r="42" spans="1:12">
      <c r="A42" s="161">
        <f>+A37+1</f>
        <v>10</v>
      </c>
      <c r="B42" s="82" t="s">
        <v>246</v>
      </c>
      <c r="C42" s="7" t="s">
        <v>350</v>
      </c>
      <c r="F42" s="590">
        <v>2884418609</v>
      </c>
      <c r="G42" s="230">
        <f>IF(F$45=0,0,F42/F$45)</f>
        <v>0.45083167862368689</v>
      </c>
      <c r="H42" s="84"/>
      <c r="I42" s="230">
        <f>+J29/F42</f>
        <v>4.3765193999967013E-2</v>
      </c>
      <c r="J42" s="84"/>
      <c r="K42" s="230">
        <f>G42*I42</f>
        <v>1.9730735876296437E-2</v>
      </c>
      <c r="L42" s="380" t="s">
        <v>58</v>
      </c>
    </row>
    <row r="43" spans="1:12">
      <c r="A43" s="161">
        <f>+A42+1</f>
        <v>11</v>
      </c>
      <c r="B43" s="82" t="s">
        <v>118</v>
      </c>
      <c r="C43" s="7" t="s">
        <v>351</v>
      </c>
      <c r="F43" s="590">
        <v>0</v>
      </c>
      <c r="G43" s="84">
        <f>IF(F$45=0,0,F43/F$45)</f>
        <v>0</v>
      </c>
      <c r="H43" s="84"/>
      <c r="I43" s="84">
        <v>0</v>
      </c>
      <c r="J43" s="84"/>
      <c r="K43" s="230">
        <f>G43*I43</f>
        <v>0</v>
      </c>
      <c r="L43" s="8"/>
    </row>
    <row r="44" spans="1:12" ht="13.5" thickBot="1">
      <c r="A44" s="161">
        <f>+A43+1</f>
        <v>12</v>
      </c>
      <c r="B44" s="82" t="s">
        <v>297</v>
      </c>
      <c r="C44" s="7" t="s">
        <v>352</v>
      </c>
      <c r="F44" s="183">
        <f>+J37</f>
        <v>3513575910.3861351</v>
      </c>
      <c r="G44" s="230">
        <f>IF(F$45=0,0,F44/F$45)</f>
        <v>0.54916832137631311</v>
      </c>
      <c r="H44" s="227"/>
      <c r="I44" s="809">
        <f>0.5%+10.5%</f>
        <v>0.11</v>
      </c>
      <c r="J44" s="84"/>
      <c r="K44" s="381">
        <f>G44*I44</f>
        <v>6.0408515351394444E-2</v>
      </c>
      <c r="L44" s="8"/>
    </row>
    <row r="45" spans="1:12">
      <c r="A45" s="161">
        <f>+A44+1</f>
        <v>13</v>
      </c>
      <c r="B45" s="9" t="s">
        <v>238</v>
      </c>
      <c r="C45" s="7" t="s">
        <v>474</v>
      </c>
      <c r="F45" s="110">
        <f>SUM(F42:F44)</f>
        <v>6397994519.3861351</v>
      </c>
      <c r="G45" s="84" t="s">
        <v>2</v>
      </c>
      <c r="H45" s="8"/>
      <c r="I45" s="84"/>
      <c r="J45" s="84"/>
      <c r="K45" s="230">
        <f>SUM(K42:K44)</f>
        <v>8.0139251227690889E-2</v>
      </c>
      <c r="L45" s="380" t="s">
        <v>59</v>
      </c>
    </row>
    <row r="46" spans="1:12">
      <c r="A46" s="161"/>
      <c r="G46" s="84"/>
    </row>
    <row r="47" spans="1:12">
      <c r="A47" s="116" t="s">
        <v>349</v>
      </c>
    </row>
    <row r="48" spans="1:12">
      <c r="A48" s="162" t="s">
        <v>63</v>
      </c>
      <c r="B48" s="116" t="s">
        <v>849</v>
      </c>
    </row>
    <row r="49" spans="1:11">
      <c r="A49" s="162" t="s">
        <v>64</v>
      </c>
      <c r="B49" s="116" t="s">
        <v>462</v>
      </c>
    </row>
    <row r="50" spans="1:11">
      <c r="A50" s="162" t="s">
        <v>65</v>
      </c>
      <c r="B50" s="116" t="s">
        <v>850</v>
      </c>
    </row>
    <row r="51" spans="1:11">
      <c r="A51" s="162"/>
      <c r="B51" s="968" t="s">
        <v>205</v>
      </c>
      <c r="C51" s="968"/>
      <c r="D51" s="968"/>
      <c r="E51" s="968"/>
      <c r="F51" s="968"/>
      <c r="G51" s="968"/>
      <c r="H51" s="968"/>
      <c r="I51" s="968"/>
      <c r="J51" s="968"/>
      <c r="K51" s="968"/>
    </row>
    <row r="52" spans="1:11">
      <c r="A52" s="162" t="s">
        <v>66</v>
      </c>
      <c r="B52" s="542" t="s">
        <v>746</v>
      </c>
    </row>
  </sheetData>
  <customSheetViews>
    <customSheetView guid="{F04A2B9A-C6FE-4FEB-AD1E-2CF9AC309BE4}" fitToPage="1">
      <selection activeCell="G20" sqref="G20"/>
      <pageMargins left="0.7" right="0.7" top="0.75" bottom="0.75" header="0.3" footer="0.3"/>
      <pageSetup scale="76" orientation="landscape" r:id="rId1"/>
    </customSheetView>
  </customSheetViews>
  <mergeCells count="1">
    <mergeCell ref="B51:K51"/>
  </mergeCells>
  <phoneticPr fontId="0" type="noConversion"/>
  <pageMargins left="0.25" right="0.25" top="0.75" bottom="0.75" header="0.3" footer="0.3"/>
  <pageSetup scale="57" fitToHeight="0" orientation="landscape" r:id="rId2"/>
  <rowBreaks count="1" manualBreakCount="1">
    <brk id="22"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topLeftCell="A62" zoomScale="80" zoomScaleNormal="80" zoomScaleSheetLayoutView="70" workbookViewId="0">
      <selection activeCell="C84" sqref="C84"/>
    </sheetView>
  </sheetViews>
  <sheetFormatPr defaultColWidth="7.109375" defaultRowHeight="15"/>
  <cols>
    <col min="1" max="1" width="5.77734375" style="855" customWidth="1"/>
    <col min="2" max="2" width="65.88671875" style="671" customWidth="1"/>
    <col min="3" max="3" width="14.109375" style="671" customWidth="1"/>
    <col min="4" max="4" width="12" style="635" bestFit="1" customWidth="1"/>
    <col min="5" max="5" width="14.77734375" style="671" bestFit="1" customWidth="1"/>
    <col min="6" max="6" width="14" style="671" customWidth="1"/>
    <col min="7" max="7" width="10.6640625" style="671" bestFit="1" customWidth="1"/>
    <col min="8" max="8" width="12" style="671" customWidth="1"/>
    <col min="9" max="16384" width="7.109375" style="671"/>
  </cols>
  <sheetData>
    <row r="1" spans="1:8">
      <c r="A1" s="1005" t="s">
        <v>721</v>
      </c>
      <c r="B1" s="1005"/>
      <c r="C1" s="1005"/>
      <c r="D1" s="1005"/>
      <c r="H1" s="671" t="s">
        <v>465</v>
      </c>
    </row>
    <row r="2" spans="1:8">
      <c r="A2" s="1010" t="s">
        <v>682</v>
      </c>
      <c r="B2" s="1011"/>
      <c r="C2" s="1011"/>
      <c r="D2" s="1011"/>
      <c r="E2" s="707"/>
    </row>
    <row r="3" spans="1:8">
      <c r="A3" s="1010"/>
      <c r="B3" s="1011"/>
      <c r="C3" s="1011"/>
      <c r="D3" s="1011"/>
      <c r="E3" s="707"/>
    </row>
    <row r="4" spans="1:8">
      <c r="B4" s="708"/>
      <c r="C4" s="640"/>
    </row>
    <row r="5" spans="1:8">
      <c r="B5" s="632" t="s">
        <v>647</v>
      </c>
      <c r="C5" s="676"/>
      <c r="G5" s="709"/>
    </row>
    <row r="6" spans="1:8">
      <c r="A6" s="855">
        <v>1</v>
      </c>
      <c r="B6" s="710" t="s">
        <v>910</v>
      </c>
      <c r="C6" s="631"/>
      <c r="D6" s="735">
        <f>E60</f>
        <v>7167281</v>
      </c>
      <c r="G6" s="635"/>
    </row>
    <row r="7" spans="1:8">
      <c r="A7" s="855">
        <f>A6+1</f>
        <v>2</v>
      </c>
      <c r="B7" s="710" t="s">
        <v>911</v>
      </c>
      <c r="C7" s="631"/>
      <c r="D7" s="735">
        <f>E59+F66</f>
        <v>727897.30126300198</v>
      </c>
      <c r="G7" s="635"/>
    </row>
    <row r="8" spans="1:8">
      <c r="A8" s="855">
        <f>A7+1</f>
        <v>3</v>
      </c>
      <c r="B8" s="631" t="s">
        <v>653</v>
      </c>
      <c r="C8" s="676" t="s">
        <v>909</v>
      </c>
      <c r="D8" s="712">
        <f>SUM(D6:D7)</f>
        <v>7895178.3012630017</v>
      </c>
      <c r="G8" s="635"/>
    </row>
    <row r="9" spans="1:8">
      <c r="B9" s="631"/>
      <c r="C9" s="631"/>
      <c r="D9" s="712"/>
      <c r="G9" s="713"/>
    </row>
    <row r="10" spans="1:8">
      <c r="B10" s="632" t="s">
        <v>853</v>
      </c>
      <c r="C10" s="631"/>
      <c r="F10" s="670"/>
      <c r="G10" s="714"/>
    </row>
    <row r="11" spans="1:8">
      <c r="B11" s="715"/>
      <c r="C11" s="716"/>
      <c r="D11" s="717"/>
      <c r="G11" s="714"/>
    </row>
    <row r="12" spans="1:8">
      <c r="A12" s="855">
        <f>+A8+1</f>
        <v>4</v>
      </c>
      <c r="B12" s="710" t="s">
        <v>648</v>
      </c>
      <c r="C12" s="718"/>
      <c r="D12" s="699">
        <f>E81</f>
        <v>4951148</v>
      </c>
      <c r="G12" s="714"/>
    </row>
    <row r="13" spans="1:8" ht="30">
      <c r="A13" s="855">
        <f t="shared" ref="A13:A20" si="0">+A12+1</f>
        <v>5</v>
      </c>
      <c r="B13" s="835" t="s">
        <v>966</v>
      </c>
      <c r="C13" s="718"/>
      <c r="D13" s="699">
        <f>E83</f>
        <v>850789</v>
      </c>
      <c r="G13" s="714"/>
    </row>
    <row r="14" spans="1:8">
      <c r="A14" s="855">
        <f t="shared" si="0"/>
        <v>6</v>
      </c>
      <c r="B14" s="718" t="s">
        <v>763</v>
      </c>
      <c r="C14" s="718"/>
      <c r="D14" s="711">
        <v>0</v>
      </c>
      <c r="G14" s="713"/>
    </row>
    <row r="15" spans="1:8">
      <c r="A15" s="855">
        <f t="shared" si="0"/>
        <v>7</v>
      </c>
      <c r="B15" s="827" t="s">
        <v>912</v>
      </c>
      <c r="C15" s="718"/>
      <c r="D15" s="736">
        <f>H77</f>
        <v>353032.39194960921</v>
      </c>
      <c r="G15" s="714"/>
    </row>
    <row r="16" spans="1:8">
      <c r="A16" s="855">
        <f t="shared" si="0"/>
        <v>8</v>
      </c>
      <c r="B16" s="827" t="s">
        <v>649</v>
      </c>
      <c r="C16" s="719"/>
      <c r="D16" s="720">
        <v>0</v>
      </c>
      <c r="G16" s="635"/>
    </row>
    <row r="17" spans="1:5">
      <c r="A17" s="855">
        <f t="shared" si="0"/>
        <v>9</v>
      </c>
      <c r="B17" s="827" t="s">
        <v>650</v>
      </c>
      <c r="C17" s="718"/>
      <c r="D17" s="720">
        <v>0</v>
      </c>
    </row>
    <row r="18" spans="1:5">
      <c r="A18" s="855">
        <f t="shared" si="0"/>
        <v>10</v>
      </c>
      <c r="B18" s="827" t="s">
        <v>654</v>
      </c>
      <c r="C18" s="631"/>
      <c r="D18" s="720">
        <v>0</v>
      </c>
    </row>
    <row r="19" spans="1:5">
      <c r="A19" s="855">
        <f t="shared" si="0"/>
        <v>11</v>
      </c>
      <c r="B19" s="827" t="s">
        <v>651</v>
      </c>
      <c r="C19" s="676"/>
      <c r="D19" s="637">
        <v>0</v>
      </c>
    </row>
    <row r="20" spans="1:5">
      <c r="A20" s="855">
        <f t="shared" si="0"/>
        <v>12</v>
      </c>
      <c r="B20" s="827" t="s">
        <v>655</v>
      </c>
      <c r="C20" s="676"/>
      <c r="D20" s="637">
        <v>0</v>
      </c>
    </row>
    <row r="21" spans="1:5">
      <c r="B21" s="631"/>
      <c r="C21" s="676"/>
      <c r="D21" s="659"/>
    </row>
    <row r="22" spans="1:5">
      <c r="A22" s="855">
        <f>+A20+1</f>
        <v>13</v>
      </c>
      <c r="B22" s="631" t="s">
        <v>652</v>
      </c>
      <c r="C22" s="676" t="s">
        <v>871</v>
      </c>
      <c r="D22" s="828">
        <f>SUM(D12:D20)+D8</f>
        <v>14050147.69321261</v>
      </c>
    </row>
    <row r="23" spans="1:5">
      <c r="A23" s="855">
        <f>+A22+1</f>
        <v>14</v>
      </c>
      <c r="B23" s="631" t="s">
        <v>656</v>
      </c>
      <c r="C23" s="676"/>
      <c r="D23" s="635">
        <f>+D38</f>
        <v>-5168022.8192979619</v>
      </c>
    </row>
    <row r="24" spans="1:5">
      <c r="A24" s="855">
        <f>+A23+1</f>
        <v>15</v>
      </c>
      <c r="B24" s="631" t="s">
        <v>657</v>
      </c>
      <c r="C24" s="676"/>
      <c r="D24" s="635">
        <f>+D22+D23</f>
        <v>8882124.8739146478</v>
      </c>
    </row>
    <row r="25" spans="1:5">
      <c r="B25" s="631"/>
      <c r="C25" s="676"/>
    </row>
    <row r="26" spans="1:5" ht="50.25" customHeight="1">
      <c r="B26" s="721" t="s">
        <v>658</v>
      </c>
      <c r="C26" s="676"/>
      <c r="D26" s="659"/>
      <c r="E26" s="722"/>
    </row>
    <row r="27" spans="1:5" ht="60">
      <c r="A27" s="856" t="s">
        <v>872</v>
      </c>
      <c r="B27" s="723" t="s">
        <v>659</v>
      </c>
      <c r="C27" s="676"/>
    </row>
    <row r="28" spans="1:5" ht="21" customHeight="1">
      <c r="A28" s="856"/>
      <c r="B28" s="631"/>
      <c r="C28" s="676"/>
      <c r="E28" s="722"/>
    </row>
    <row r="29" spans="1:5" ht="60">
      <c r="A29" s="856" t="s">
        <v>873</v>
      </c>
      <c r="B29" s="723" t="s">
        <v>660</v>
      </c>
      <c r="C29" s="676"/>
    </row>
    <row r="30" spans="1:5" ht="14.25" customHeight="1">
      <c r="A30" s="856"/>
      <c r="B30" s="631"/>
      <c r="C30" s="676"/>
      <c r="E30" s="722"/>
    </row>
    <row r="31" spans="1:5" ht="207.75" customHeight="1">
      <c r="A31" s="856" t="s">
        <v>874</v>
      </c>
      <c r="B31" s="724" t="s">
        <v>886</v>
      </c>
      <c r="C31" s="724"/>
    </row>
    <row r="32" spans="1:5">
      <c r="A32" s="856" t="s">
        <v>661</v>
      </c>
      <c r="B32" s="724" t="s">
        <v>662</v>
      </c>
      <c r="C32" s="724"/>
      <c r="D32" s="717">
        <f>+D6+D18+D20</f>
        <v>7167281</v>
      </c>
    </row>
    <row r="33" spans="1:8">
      <c r="A33" s="856" t="s">
        <v>663</v>
      </c>
      <c r="B33" s="724" t="s">
        <v>664</v>
      </c>
      <c r="C33" s="725"/>
      <c r="D33" s="717">
        <f>F54+(D32-F54)*'Attachment H-7'!D147</f>
        <v>3393811.5496974997</v>
      </c>
      <c r="E33" s="707"/>
    </row>
    <row r="34" spans="1:8">
      <c r="A34" s="856" t="s">
        <v>665</v>
      </c>
      <c r="B34" s="724" t="s">
        <v>666</v>
      </c>
      <c r="C34" s="724"/>
      <c r="D34" s="717">
        <f>+D32-D33</f>
        <v>3773469.4503025003</v>
      </c>
      <c r="E34" s="659"/>
    </row>
    <row r="35" spans="1:8">
      <c r="A35" s="856" t="s">
        <v>667</v>
      </c>
      <c r="B35" s="724" t="s">
        <v>668</v>
      </c>
      <c r="C35" s="724"/>
      <c r="D35" s="717">
        <f>+D34/2</f>
        <v>1886734.7251512501</v>
      </c>
    </row>
    <row r="36" spans="1:8" ht="45">
      <c r="A36" s="856" t="s">
        <v>669</v>
      </c>
      <c r="B36" s="724" t="s">
        <v>670</v>
      </c>
      <c r="C36" s="724"/>
      <c r="D36" s="717">
        <f>H54</f>
        <v>112523.45555078844</v>
      </c>
    </row>
    <row r="37" spans="1:8">
      <c r="A37" s="856" t="s">
        <v>671</v>
      </c>
      <c r="B37" s="631" t="s">
        <v>672</v>
      </c>
      <c r="C37" s="676"/>
      <c r="D37" s="635">
        <f>+D35+D36</f>
        <v>1999258.1807020386</v>
      </c>
    </row>
    <row r="38" spans="1:8">
      <c r="A38" s="856" t="s">
        <v>673</v>
      </c>
      <c r="B38" s="631" t="s">
        <v>674</v>
      </c>
      <c r="C38" s="676"/>
      <c r="D38" s="635">
        <f>+D37-D32</f>
        <v>-5168022.8192979619</v>
      </c>
    </row>
    <row r="39" spans="1:8" ht="60">
      <c r="A39" s="856">
        <v>18</v>
      </c>
      <c r="B39" s="723" t="s">
        <v>675</v>
      </c>
      <c r="C39" s="676"/>
      <c r="D39" s="828"/>
    </row>
    <row r="40" spans="1:8">
      <c r="B40" s="676"/>
      <c r="C40" s="676"/>
    </row>
    <row r="41" spans="1:8">
      <c r="A41" s="855">
        <v>19</v>
      </c>
      <c r="B41" s="833" t="s">
        <v>398</v>
      </c>
      <c r="C41" s="676"/>
      <c r="D41" s="637">
        <v>0</v>
      </c>
    </row>
    <row r="42" spans="1:8">
      <c r="B42" s="676"/>
      <c r="C42" s="676"/>
      <c r="D42" s="659"/>
    </row>
    <row r="43" spans="1:8">
      <c r="A43" s="855">
        <v>20</v>
      </c>
      <c r="B43" s="676" t="s">
        <v>676</v>
      </c>
      <c r="C43" s="676"/>
      <c r="D43" s="726">
        <f>+D22+D27+D39+D41</f>
        <v>14050147.69321261</v>
      </c>
    </row>
    <row r="44" spans="1:8">
      <c r="A44" s="855">
        <v>21</v>
      </c>
      <c r="B44" s="833" t="s">
        <v>398</v>
      </c>
      <c r="C44" s="676"/>
      <c r="D44" s="726"/>
    </row>
    <row r="46" spans="1:8">
      <c r="A46" s="854"/>
      <c r="D46" s="672"/>
      <c r="H46" s="671" t="s">
        <v>161</v>
      </c>
    </row>
    <row r="47" spans="1:8">
      <c r="A47" s="1010" t="s">
        <v>682</v>
      </c>
      <c r="B47" s="1011"/>
      <c r="C47" s="1011"/>
      <c r="D47" s="1011"/>
      <c r="E47" s="707"/>
    </row>
    <row r="49" spans="1:8">
      <c r="B49" s="724" t="s">
        <v>664</v>
      </c>
    </row>
    <row r="50" spans="1:8" ht="60" customHeight="1">
      <c r="B50" s="671" t="s">
        <v>677</v>
      </c>
      <c r="C50" s="731" t="s">
        <v>887</v>
      </c>
      <c r="D50" s="635" t="s">
        <v>915</v>
      </c>
      <c r="E50" s="731" t="s">
        <v>965</v>
      </c>
      <c r="F50" s="731" t="s">
        <v>914</v>
      </c>
      <c r="G50" s="731" t="s">
        <v>916</v>
      </c>
      <c r="H50" s="731" t="s">
        <v>917</v>
      </c>
    </row>
    <row r="51" spans="1:8">
      <c r="A51" s="855" t="s">
        <v>678</v>
      </c>
      <c r="B51" s="836" t="s">
        <v>728</v>
      </c>
      <c r="C51" s="728">
        <v>920000</v>
      </c>
      <c r="D51" s="637">
        <v>735800</v>
      </c>
      <c r="E51" s="837">
        <v>0.75</v>
      </c>
      <c r="F51" s="730">
        <f>D51*E51</f>
        <v>551850</v>
      </c>
      <c r="G51" s="732">
        <f>'Attachment H-7'!I191</f>
        <v>0.1176002587197187</v>
      </c>
      <c r="H51" s="730">
        <f>D51*G51</f>
        <v>86530.270365969016</v>
      </c>
    </row>
    <row r="52" spans="1:8">
      <c r="A52" s="855" t="s">
        <v>679</v>
      </c>
      <c r="B52" s="727" t="str">
        <f>'5B - A&amp;G'!B16</f>
        <v xml:space="preserve">Employee Pensions and Benefits </v>
      </c>
      <c r="C52" s="728">
        <v>926000</v>
      </c>
      <c r="D52" s="637">
        <v>221030</v>
      </c>
      <c r="E52" s="837">
        <f>E51</f>
        <v>0.75</v>
      </c>
      <c r="F52" s="955">
        <f>D52*E52</f>
        <v>165772.5</v>
      </c>
      <c r="G52" s="732">
        <f>G51</f>
        <v>0.1176002587197187</v>
      </c>
      <c r="H52" s="730">
        <f>D52*G52</f>
        <v>25993.185184819424</v>
      </c>
    </row>
    <row r="53" spans="1:8">
      <c r="A53" s="855" t="s">
        <v>316</v>
      </c>
    </row>
    <row r="54" spans="1:8">
      <c r="A54" s="855">
        <v>23</v>
      </c>
      <c r="B54" s="671" t="s">
        <v>680</v>
      </c>
      <c r="D54" s="733">
        <f>SUM(D51:D53)</f>
        <v>956830</v>
      </c>
      <c r="E54" s="734"/>
      <c r="F54" s="733">
        <f>SUM(F51:F53)</f>
        <v>717622.5</v>
      </c>
      <c r="G54" s="734"/>
      <c r="H54" s="733">
        <f>SUM(H51:H53)</f>
        <v>112523.45555078844</v>
      </c>
    </row>
    <row r="57" spans="1:8">
      <c r="B57" s="737" t="s">
        <v>918</v>
      </c>
      <c r="C57" s="738" t="s">
        <v>913</v>
      </c>
      <c r="D57" s="738" t="s">
        <v>922</v>
      </c>
      <c r="E57" s="738" t="s">
        <v>923</v>
      </c>
      <c r="F57" s="738" t="s">
        <v>924</v>
      </c>
      <c r="G57" s="738" t="s">
        <v>925</v>
      </c>
      <c r="H57" s="739" t="s">
        <v>13</v>
      </c>
    </row>
    <row r="58" spans="1:8">
      <c r="A58" s="855" t="s">
        <v>936</v>
      </c>
      <c r="B58" s="737" t="s">
        <v>926</v>
      </c>
      <c r="C58" s="740">
        <v>11950797</v>
      </c>
      <c r="D58" s="741">
        <f>C58</f>
        <v>11950797</v>
      </c>
      <c r="E58" s="742"/>
      <c r="F58" s="742"/>
      <c r="G58" s="742"/>
      <c r="H58" s="743"/>
    </row>
    <row r="59" spans="1:8">
      <c r="A59" s="855" t="s">
        <v>937</v>
      </c>
      <c r="B59" s="737" t="s">
        <v>927</v>
      </c>
      <c r="C59" s="744">
        <v>264766</v>
      </c>
      <c r="D59" s="745"/>
      <c r="E59" s="746">
        <f>C59</f>
        <v>264766</v>
      </c>
      <c r="F59" s="737"/>
      <c r="G59" s="737"/>
      <c r="H59" s="747"/>
    </row>
    <row r="60" spans="1:8">
      <c r="A60" s="855" t="s">
        <v>938</v>
      </c>
      <c r="B60" s="737" t="s">
        <v>1160</v>
      </c>
      <c r="C60" s="744">
        <v>7167281</v>
      </c>
      <c r="D60" s="745"/>
      <c r="E60" s="746">
        <f>C60</f>
        <v>7167281</v>
      </c>
      <c r="F60" s="737"/>
      <c r="G60" s="737"/>
      <c r="H60" s="747"/>
    </row>
    <row r="61" spans="1:8">
      <c r="A61" s="855" t="s">
        <v>939</v>
      </c>
      <c r="B61" s="737" t="s">
        <v>1161</v>
      </c>
      <c r="C61" s="744">
        <v>3708415</v>
      </c>
      <c r="D61" s="745">
        <f>C61</f>
        <v>3708415</v>
      </c>
      <c r="E61" s="746"/>
      <c r="F61" s="737"/>
      <c r="G61" s="737"/>
      <c r="H61" s="747"/>
    </row>
    <row r="62" spans="1:8">
      <c r="A62" s="855" t="s">
        <v>1162</v>
      </c>
      <c r="B62" s="737" t="s">
        <v>928</v>
      </c>
      <c r="C62" s="744">
        <v>2495646</v>
      </c>
      <c r="D62" s="745"/>
      <c r="E62" s="737"/>
      <c r="F62" s="746">
        <f>C62</f>
        <v>2495646</v>
      </c>
      <c r="G62" s="737"/>
      <c r="H62" s="747"/>
    </row>
    <row r="63" spans="1:8">
      <c r="A63" s="855" t="s">
        <v>316</v>
      </c>
      <c r="B63" s="737"/>
      <c r="C63" s="744"/>
      <c r="D63" s="745"/>
      <c r="E63" s="737"/>
      <c r="F63" s="746"/>
      <c r="G63" s="737"/>
      <c r="H63" s="747"/>
    </row>
    <row r="64" spans="1:8">
      <c r="B64" s="748" t="s">
        <v>940</v>
      </c>
      <c r="C64" s="742">
        <f>SUM(C58:C62)</f>
        <v>25586905</v>
      </c>
      <c r="D64" s="741">
        <f>SUM(D58:D62)</f>
        <v>15659212</v>
      </c>
      <c r="E64" s="741">
        <f>SUM(E58:E62)</f>
        <v>7432047</v>
      </c>
      <c r="F64" s="741">
        <f>SUM(F58:F62)</f>
        <v>2495646</v>
      </c>
      <c r="G64" s="741">
        <f>SUM(G58:G62)</f>
        <v>0</v>
      </c>
      <c r="H64" s="743"/>
    </row>
    <row r="65" spans="1:8">
      <c r="B65" s="749" t="s">
        <v>929</v>
      </c>
      <c r="C65" s="737"/>
      <c r="D65" s="799">
        <v>0</v>
      </c>
      <c r="E65" s="799">
        <v>1</v>
      </c>
      <c r="F65" s="750">
        <f>'Attachment H-7'!G73</f>
        <v>0.18557571917772073</v>
      </c>
      <c r="G65" s="750">
        <f>'Attachment H-7'!I191</f>
        <v>0.1176002587197187</v>
      </c>
      <c r="H65" s="737"/>
    </row>
    <row r="66" spans="1:8">
      <c r="B66" s="749" t="s">
        <v>930</v>
      </c>
      <c r="C66" s="737"/>
      <c r="D66" s="741">
        <f>D64*D65</f>
        <v>0</v>
      </c>
      <c r="E66" s="741">
        <f>E64*E65</f>
        <v>7432047</v>
      </c>
      <c r="F66" s="741">
        <f>F64*F65</f>
        <v>463131.30126300204</v>
      </c>
      <c r="G66" s="741">
        <f>G64*G65</f>
        <v>0</v>
      </c>
      <c r="H66" s="743">
        <f>SUM(D66:G66)</f>
        <v>7895178.3012630017</v>
      </c>
    </row>
    <row r="67" spans="1:8">
      <c r="E67" s="729"/>
    </row>
    <row r="68" spans="1:8">
      <c r="B68" s="737" t="s">
        <v>931</v>
      </c>
      <c r="C68" s="738" t="s">
        <v>913</v>
      </c>
      <c r="D68" s="738" t="s">
        <v>922</v>
      </c>
      <c r="E68" s="738" t="s">
        <v>923</v>
      </c>
      <c r="F68" s="738" t="s">
        <v>924</v>
      </c>
      <c r="G68" s="738" t="s">
        <v>925</v>
      </c>
      <c r="H68" s="739" t="s">
        <v>13</v>
      </c>
    </row>
    <row r="69" spans="1:8">
      <c r="A69" s="855" t="s">
        <v>618</v>
      </c>
      <c r="B69" s="737" t="s">
        <v>932</v>
      </c>
      <c r="C69" s="740">
        <v>-23454733</v>
      </c>
      <c r="D69" s="741">
        <f>C69</f>
        <v>-23454733</v>
      </c>
      <c r="E69" s="742"/>
      <c r="F69" s="742"/>
      <c r="G69" s="742"/>
      <c r="H69" s="743"/>
    </row>
    <row r="70" spans="1:8">
      <c r="A70" s="855" t="s">
        <v>619</v>
      </c>
      <c r="B70" s="737" t="s">
        <v>1163</v>
      </c>
      <c r="C70" s="744">
        <v>4909405</v>
      </c>
      <c r="D70" s="741">
        <f>C70</f>
        <v>4909405</v>
      </c>
      <c r="E70" s="742"/>
      <c r="F70" s="742"/>
      <c r="G70" s="742"/>
      <c r="H70" s="743"/>
    </row>
    <row r="71" spans="1:8">
      <c r="A71" s="855" t="s">
        <v>620</v>
      </c>
      <c r="B71" s="737" t="s">
        <v>933</v>
      </c>
      <c r="C71" s="744">
        <v>4415836</v>
      </c>
      <c r="D71" s="741">
        <f>C71</f>
        <v>4415836</v>
      </c>
      <c r="E71" s="746"/>
      <c r="F71" s="737"/>
      <c r="G71" s="737"/>
      <c r="H71" s="747"/>
    </row>
    <row r="72" spans="1:8" ht="14.45" customHeight="1">
      <c r="A72" s="855" t="s">
        <v>621</v>
      </c>
      <c r="B72" s="737" t="s">
        <v>934</v>
      </c>
      <c r="C72" s="744">
        <v>2059647</v>
      </c>
      <c r="D72" s="741"/>
      <c r="E72" s="746"/>
      <c r="F72" s="737"/>
      <c r="G72" s="741">
        <f>C72</f>
        <v>2059647</v>
      </c>
      <c r="H72" s="747"/>
    </row>
    <row r="73" spans="1:8">
      <c r="A73" s="855" t="s">
        <v>622</v>
      </c>
      <c r="B73" s="737" t="s">
        <v>922</v>
      </c>
      <c r="C73" s="744">
        <v>692136</v>
      </c>
      <c r="D73" s="964">
        <v>146078</v>
      </c>
      <c r="E73" s="744">
        <v>11643</v>
      </c>
      <c r="F73" s="744">
        <v>534414.59</v>
      </c>
      <c r="G73" s="744"/>
      <c r="H73" s="747"/>
    </row>
    <row r="74" spans="1:8">
      <c r="A74" s="855" t="s">
        <v>316</v>
      </c>
      <c r="B74" s="737"/>
      <c r="C74" s="744"/>
      <c r="D74" s="745"/>
      <c r="E74" s="737"/>
      <c r="F74" s="746"/>
      <c r="G74" s="746"/>
      <c r="H74" s="747"/>
    </row>
    <row r="75" spans="1:8">
      <c r="B75" s="748" t="s">
        <v>941</v>
      </c>
      <c r="C75" s="742">
        <f>SUM(C69:C73)</f>
        <v>-11377709</v>
      </c>
      <c r="D75" s="741">
        <f>SUM(D69:D73)</f>
        <v>-13983414</v>
      </c>
      <c r="E75" s="741">
        <f>SUM(E69:E73)</f>
        <v>11643</v>
      </c>
      <c r="F75" s="741">
        <f>SUM(F69:F73)</f>
        <v>534414.59</v>
      </c>
      <c r="G75" s="741">
        <f>SUM(G69:G73)</f>
        <v>2059647</v>
      </c>
      <c r="H75" s="743"/>
    </row>
    <row r="76" spans="1:8">
      <c r="B76" s="749" t="s">
        <v>929</v>
      </c>
      <c r="C76" s="737"/>
      <c r="D76" s="799">
        <v>0</v>
      </c>
      <c r="E76" s="799">
        <v>1</v>
      </c>
      <c r="F76" s="750">
        <f>'Attachment H-7'!G73</f>
        <v>0.18557571917772073</v>
      </c>
      <c r="G76" s="750">
        <f>'Attachment H-7'!I191</f>
        <v>0.1176002587197187</v>
      </c>
      <c r="H76" s="737"/>
    </row>
    <row r="77" spans="1:8">
      <c r="B77" s="749" t="s">
        <v>930</v>
      </c>
      <c r="C77" s="737"/>
      <c r="D77" s="741">
        <f>D75*D76</f>
        <v>0</v>
      </c>
      <c r="E77" s="741">
        <f>E75*E76</f>
        <v>11643</v>
      </c>
      <c r="F77" s="741">
        <f>F75*F76</f>
        <v>99174.371878316757</v>
      </c>
      <c r="G77" s="741">
        <f>G75*G76</f>
        <v>242215.02007129247</v>
      </c>
      <c r="H77" s="743">
        <f>SUM(D77:G77)</f>
        <v>353032.39194960921</v>
      </c>
    </row>
    <row r="79" spans="1:8">
      <c r="B79" s="737" t="s">
        <v>935</v>
      </c>
      <c r="C79" s="738" t="s">
        <v>913</v>
      </c>
      <c r="D79" s="738" t="s">
        <v>922</v>
      </c>
      <c r="E79" s="738" t="s">
        <v>923</v>
      </c>
      <c r="F79" s="738" t="s">
        <v>924</v>
      </c>
      <c r="G79" s="738" t="s">
        <v>925</v>
      </c>
      <c r="H79" s="739" t="s">
        <v>13</v>
      </c>
    </row>
    <row r="80" spans="1:8">
      <c r="A80" s="855" t="s">
        <v>943</v>
      </c>
      <c r="B80" s="737" t="s">
        <v>919</v>
      </c>
      <c r="C80" s="740">
        <v>174279993</v>
      </c>
      <c r="D80" s="741">
        <f>C80</f>
        <v>174279993</v>
      </c>
      <c r="E80" s="742"/>
      <c r="F80" s="742"/>
      <c r="G80" s="742"/>
      <c r="H80" s="743"/>
    </row>
    <row r="81" spans="1:8">
      <c r="A81" s="855" t="s">
        <v>944</v>
      </c>
      <c r="B81" s="737" t="s">
        <v>920</v>
      </c>
      <c r="C81" s="744">
        <v>4951148</v>
      </c>
      <c r="D81" s="741"/>
      <c r="E81" s="741">
        <f>C81</f>
        <v>4951148</v>
      </c>
      <c r="F81" s="737"/>
      <c r="G81" s="737"/>
      <c r="H81" s="747"/>
    </row>
    <row r="82" spans="1:8">
      <c r="A82" s="855" t="s">
        <v>945</v>
      </c>
      <c r="B82" s="737" t="s">
        <v>1164</v>
      </c>
      <c r="C82" s="744">
        <v>2917409</v>
      </c>
      <c r="D82" s="741">
        <f>C82</f>
        <v>2917409</v>
      </c>
      <c r="E82" s="741"/>
      <c r="F82" s="737"/>
      <c r="G82" s="737"/>
      <c r="H82" s="747"/>
    </row>
    <row r="83" spans="1:8">
      <c r="A83" s="855" t="s">
        <v>946</v>
      </c>
      <c r="B83" s="737" t="s">
        <v>921</v>
      </c>
      <c r="C83" s="744">
        <v>850789</v>
      </c>
      <c r="D83" s="745"/>
      <c r="E83" s="746">
        <f>C83</f>
        <v>850789</v>
      </c>
      <c r="F83" s="737"/>
      <c r="G83" s="737"/>
      <c r="H83" s="747"/>
    </row>
    <row r="84" spans="1:8">
      <c r="A84" s="855" t="s">
        <v>1165</v>
      </c>
      <c r="B84" s="737" t="s">
        <v>922</v>
      </c>
      <c r="C84" s="744">
        <v>177702</v>
      </c>
      <c r="D84" s="745">
        <f>C84</f>
        <v>177702</v>
      </c>
      <c r="E84" s="737"/>
      <c r="F84" s="746"/>
      <c r="G84" s="746"/>
      <c r="H84" s="747"/>
    </row>
    <row r="85" spans="1:8">
      <c r="A85" s="855" t="s">
        <v>316</v>
      </c>
      <c r="B85" s="737"/>
      <c r="C85" s="744"/>
      <c r="D85" s="745"/>
      <c r="E85" s="737"/>
      <c r="F85" s="746"/>
      <c r="G85" s="746"/>
      <c r="H85" s="747"/>
    </row>
    <row r="86" spans="1:8">
      <c r="B86" s="748" t="s">
        <v>942</v>
      </c>
      <c r="C86" s="742">
        <f>SUM(C80:C84)</f>
        <v>183177041</v>
      </c>
      <c r="D86" s="741">
        <f>SUM(D80:D84)</f>
        <v>177375104</v>
      </c>
      <c r="E86" s="741">
        <f>SUM(E80:E84)</f>
        <v>5801937</v>
      </c>
      <c r="F86" s="741">
        <f>SUM(F80:F84)</f>
        <v>0</v>
      </c>
      <c r="G86" s="741">
        <f>SUM(G80:G84)</f>
        <v>0</v>
      </c>
      <c r="H86" s="743"/>
    </row>
    <row r="87" spans="1:8">
      <c r="B87" s="749" t="s">
        <v>929</v>
      </c>
      <c r="C87" s="737"/>
      <c r="D87" s="799">
        <v>0</v>
      </c>
      <c r="E87" s="799">
        <v>1</v>
      </c>
      <c r="F87" s="750">
        <f>'Attachment H-7'!G73</f>
        <v>0.18557571917772073</v>
      </c>
      <c r="G87" s="750">
        <f>'Attachment H-7'!I191</f>
        <v>0.1176002587197187</v>
      </c>
      <c r="H87" s="737"/>
    </row>
    <row r="88" spans="1:8">
      <c r="B88" s="749" t="s">
        <v>930</v>
      </c>
      <c r="C88" s="737"/>
      <c r="D88" s="741">
        <f>D86*D87</f>
        <v>0</v>
      </c>
      <c r="E88" s="741">
        <f>E86*E87</f>
        <v>5801937</v>
      </c>
      <c r="F88" s="741">
        <f>F86*F87</f>
        <v>0</v>
      </c>
      <c r="G88" s="741">
        <f>G86*G87</f>
        <v>0</v>
      </c>
      <c r="H88" s="743">
        <f>SUM(D88:G88)</f>
        <v>5801937</v>
      </c>
    </row>
    <row r="90" spans="1:8">
      <c r="B90" s="671" t="s">
        <v>1155</v>
      </c>
    </row>
  </sheetData>
  <mergeCells count="4">
    <mergeCell ref="A1:D1"/>
    <mergeCell ref="A3:D3"/>
    <mergeCell ref="A47:D47"/>
    <mergeCell ref="A2:D2"/>
  </mergeCells>
  <printOptions horizontalCentered="1"/>
  <pageMargins left="0.5" right="0.5" top="1" bottom="1" header="0.5" footer="0.5"/>
  <pageSetup scale="43" fitToHeight="2" orientation="landscape" r:id="rId1"/>
  <headerFooter alignWithMargins="0"/>
  <rowBreaks count="1" manualBreakCount="1">
    <brk id="44"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opLeftCell="A18" zoomScaleNormal="100" zoomScaleSheetLayoutView="90" workbookViewId="0">
      <selection activeCell="J23" sqref="J23"/>
    </sheetView>
  </sheetViews>
  <sheetFormatPr defaultColWidth="8.88671875" defaultRowHeight="15"/>
  <cols>
    <col min="1" max="1" width="4.109375" style="631" customWidth="1"/>
    <col min="2" max="2" width="30.5546875" style="631" customWidth="1"/>
    <col min="3" max="3" width="1.6640625" style="631" customWidth="1"/>
    <col min="4" max="4" width="5.33203125" style="631" bestFit="1" customWidth="1"/>
    <col min="5" max="5" width="17" style="631" bestFit="1" customWidth="1"/>
    <col min="6" max="6" width="2.21875" style="631" customWidth="1"/>
    <col min="7" max="7" width="14.77734375" style="631" bestFit="1" customWidth="1"/>
    <col min="8" max="8" width="17.5546875" style="631" bestFit="1" customWidth="1"/>
    <col min="9" max="9" width="14" style="631" bestFit="1" customWidth="1"/>
    <col min="10" max="10" width="14.77734375" style="631" bestFit="1" customWidth="1"/>
    <col min="11" max="16384" width="8.88671875" style="631"/>
  </cols>
  <sheetData>
    <row r="1" spans="1:10">
      <c r="B1" s="1005" t="str">
        <f>+'Attachment H-7'!D171</f>
        <v>PECO Energy Company</v>
      </c>
      <c r="C1" s="1005"/>
      <c r="D1" s="1005"/>
      <c r="E1" s="1005"/>
      <c r="F1" s="1005"/>
      <c r="G1" s="1005"/>
    </row>
    <row r="2" spans="1:10">
      <c r="B2" s="1010" t="s">
        <v>683</v>
      </c>
      <c r="C2" s="1010"/>
      <c r="D2" s="1010"/>
      <c r="E2" s="1010"/>
      <c r="F2" s="1010"/>
      <c r="G2" s="1010"/>
    </row>
    <row r="4" spans="1:10">
      <c r="A4" s="839"/>
      <c r="B4" s="632"/>
      <c r="C4" s="632"/>
      <c r="D4" s="632"/>
      <c r="E4" s="632"/>
      <c r="F4" s="632"/>
      <c r="G4" s="632"/>
    </row>
    <row r="5" spans="1:10">
      <c r="A5" s="839"/>
      <c r="B5" s="632"/>
    </row>
    <row r="6" spans="1:10">
      <c r="E6" s="673" t="s">
        <v>209</v>
      </c>
      <c r="G6" s="673" t="s">
        <v>210</v>
      </c>
      <c r="H6" s="673" t="s">
        <v>211</v>
      </c>
      <c r="I6" s="674" t="s">
        <v>212</v>
      </c>
      <c r="J6" s="673" t="s">
        <v>214</v>
      </c>
    </row>
    <row r="7" spans="1:10">
      <c r="E7" s="675" t="s">
        <v>880</v>
      </c>
    </row>
    <row r="8" spans="1:10">
      <c r="B8" s="676"/>
      <c r="C8" s="676"/>
      <c r="D8" s="676"/>
      <c r="E8" s="677"/>
      <c r="F8" s="678"/>
      <c r="G8" s="678"/>
      <c r="H8" s="678"/>
      <c r="I8" s="678"/>
      <c r="J8" s="678"/>
    </row>
    <row r="9" spans="1:10">
      <c r="B9" s="679"/>
      <c r="C9" s="680"/>
      <c r="D9" s="681"/>
      <c r="E9" s="682" t="s">
        <v>13</v>
      </c>
      <c r="F9" s="682"/>
      <c r="G9" s="682" t="s">
        <v>725</v>
      </c>
      <c r="H9" s="682" t="s">
        <v>726</v>
      </c>
      <c r="I9" s="682" t="s">
        <v>727</v>
      </c>
      <c r="J9" s="682" t="s">
        <v>13</v>
      </c>
    </row>
    <row r="10" spans="1:10">
      <c r="A10" s="634">
        <v>1</v>
      </c>
      <c r="B10" s="683" t="s">
        <v>728</v>
      </c>
      <c r="C10" s="676"/>
      <c r="D10" s="684">
        <v>920</v>
      </c>
      <c r="E10" s="685">
        <v>24913082</v>
      </c>
      <c r="F10" s="686"/>
      <c r="G10" s="685">
        <f>E10</f>
        <v>24913082</v>
      </c>
      <c r="H10" s="803"/>
      <c r="I10" s="803"/>
      <c r="J10" s="687">
        <f t="shared" ref="J10:J23" si="0">SUM(G10:I10)</f>
        <v>24913082</v>
      </c>
    </row>
    <row r="11" spans="1:10">
      <c r="A11" s="634">
        <f>A10+1</f>
        <v>2</v>
      </c>
      <c r="B11" s="683" t="s">
        <v>729</v>
      </c>
      <c r="C11" s="676"/>
      <c r="D11" s="684">
        <v>921</v>
      </c>
      <c r="E11" s="688">
        <v>13031375</v>
      </c>
      <c r="F11" s="689"/>
      <c r="G11" s="688">
        <f>E11</f>
        <v>13031375</v>
      </c>
      <c r="H11" s="804"/>
      <c r="I11" s="804"/>
      <c r="J11" s="690">
        <f t="shared" si="0"/>
        <v>13031375</v>
      </c>
    </row>
    <row r="12" spans="1:10">
      <c r="A12" s="634">
        <f t="shared" ref="A12:A24" si="1">A11+1</f>
        <v>3</v>
      </c>
      <c r="B12" s="683" t="s">
        <v>730</v>
      </c>
      <c r="C12" s="676"/>
      <c r="D12" s="684">
        <v>922</v>
      </c>
      <c r="E12" s="688">
        <v>0</v>
      </c>
      <c r="F12" s="689"/>
      <c r="G12" s="688">
        <f>E12</f>
        <v>0</v>
      </c>
      <c r="H12" s="804"/>
      <c r="I12" s="804"/>
      <c r="J12" s="690">
        <f t="shared" si="0"/>
        <v>0</v>
      </c>
    </row>
    <row r="13" spans="1:10">
      <c r="A13" s="634">
        <f t="shared" si="1"/>
        <v>4</v>
      </c>
      <c r="B13" s="683" t="s">
        <v>731</v>
      </c>
      <c r="C13" s="676"/>
      <c r="D13" s="684">
        <v>923</v>
      </c>
      <c r="E13" s="688">
        <v>89331098</v>
      </c>
      <c r="F13" s="689"/>
      <c r="G13" s="688">
        <f>E13</f>
        <v>89331098</v>
      </c>
      <c r="H13" s="804"/>
      <c r="I13" s="804"/>
      <c r="J13" s="690">
        <f t="shared" si="0"/>
        <v>89331098</v>
      </c>
    </row>
    <row r="14" spans="1:10">
      <c r="A14" s="634">
        <f t="shared" si="1"/>
        <v>5</v>
      </c>
      <c r="B14" s="683" t="s">
        <v>732</v>
      </c>
      <c r="C14" s="676"/>
      <c r="D14" s="684">
        <v>924</v>
      </c>
      <c r="E14" s="688">
        <v>264261</v>
      </c>
      <c r="F14" s="689"/>
      <c r="G14" s="804"/>
      <c r="H14" s="688">
        <f>E14</f>
        <v>264261</v>
      </c>
      <c r="I14" s="804"/>
      <c r="J14" s="690">
        <f t="shared" si="0"/>
        <v>264261</v>
      </c>
    </row>
    <row r="15" spans="1:10">
      <c r="A15" s="634">
        <f t="shared" si="1"/>
        <v>6</v>
      </c>
      <c r="B15" s="683" t="s">
        <v>733</v>
      </c>
      <c r="C15" s="676"/>
      <c r="D15" s="684">
        <v>925</v>
      </c>
      <c r="E15" s="688">
        <v>13933064</v>
      </c>
      <c r="F15" s="689"/>
      <c r="G15" s="688">
        <f>E15</f>
        <v>13933064</v>
      </c>
      <c r="H15" s="804"/>
      <c r="I15" s="804"/>
      <c r="J15" s="690">
        <f t="shared" si="0"/>
        <v>13933064</v>
      </c>
    </row>
    <row r="16" spans="1:10">
      <c r="A16" s="634">
        <f t="shared" si="1"/>
        <v>7</v>
      </c>
      <c r="B16" s="683" t="s">
        <v>734</v>
      </c>
      <c r="C16" s="676"/>
      <c r="D16" s="691">
        <v>926</v>
      </c>
      <c r="E16" s="688">
        <v>36174177</v>
      </c>
      <c r="F16" s="689"/>
      <c r="G16" s="688">
        <f>E16</f>
        <v>36174177</v>
      </c>
      <c r="H16" s="804"/>
      <c r="I16" s="804"/>
      <c r="J16" s="690">
        <f t="shared" si="0"/>
        <v>36174177</v>
      </c>
    </row>
    <row r="17" spans="1:11">
      <c r="A17" s="634">
        <f t="shared" si="1"/>
        <v>8</v>
      </c>
      <c r="B17" s="683" t="s">
        <v>735</v>
      </c>
      <c r="C17" s="676"/>
      <c r="D17" s="684">
        <v>927</v>
      </c>
      <c r="E17" s="688">
        <v>0</v>
      </c>
      <c r="F17" s="689"/>
      <c r="G17" s="688">
        <f>E17</f>
        <v>0</v>
      </c>
      <c r="H17" s="804"/>
      <c r="I17" s="804"/>
      <c r="J17" s="690">
        <f t="shared" si="0"/>
        <v>0</v>
      </c>
    </row>
    <row r="18" spans="1:11">
      <c r="A18" s="634">
        <f t="shared" si="1"/>
        <v>9</v>
      </c>
      <c r="B18" s="683" t="s">
        <v>846</v>
      </c>
      <c r="C18" s="676"/>
      <c r="D18" s="684">
        <v>928</v>
      </c>
      <c r="E18" s="688">
        <v>8611847</v>
      </c>
      <c r="F18" s="689"/>
      <c r="G18" s="688">
        <v>0</v>
      </c>
      <c r="H18" s="804"/>
      <c r="I18" s="688">
        <f>E18</f>
        <v>8611847</v>
      </c>
      <c r="J18" s="690">
        <f t="shared" si="0"/>
        <v>8611847</v>
      </c>
    </row>
    <row r="19" spans="1:11">
      <c r="A19" s="634">
        <f t="shared" si="1"/>
        <v>10</v>
      </c>
      <c r="B19" s="683" t="s">
        <v>736</v>
      </c>
      <c r="C19" s="676"/>
      <c r="D19" s="684">
        <v>929</v>
      </c>
      <c r="E19" s="688">
        <v>-3510762</v>
      </c>
      <c r="F19" s="689"/>
      <c r="G19" s="688">
        <f>E19</f>
        <v>-3510762</v>
      </c>
      <c r="H19" s="804"/>
      <c r="I19" s="804"/>
      <c r="J19" s="690">
        <f t="shared" si="0"/>
        <v>-3510762</v>
      </c>
    </row>
    <row r="20" spans="1:11">
      <c r="A20" s="634">
        <f t="shared" si="1"/>
        <v>11</v>
      </c>
      <c r="B20" s="683" t="s">
        <v>737</v>
      </c>
      <c r="C20" s="676"/>
      <c r="D20" s="684">
        <v>930.1</v>
      </c>
      <c r="E20" s="688">
        <v>1089620</v>
      </c>
      <c r="F20" s="689"/>
      <c r="G20" s="688"/>
      <c r="H20" s="804"/>
      <c r="I20" s="688">
        <f>E20</f>
        <v>1089620</v>
      </c>
      <c r="J20" s="690">
        <f t="shared" si="0"/>
        <v>1089620</v>
      </c>
    </row>
    <row r="21" spans="1:11">
      <c r="A21" s="634">
        <f t="shared" si="1"/>
        <v>12</v>
      </c>
      <c r="B21" s="683" t="s">
        <v>738</v>
      </c>
      <c r="C21" s="676"/>
      <c r="D21" s="684">
        <v>930.2</v>
      </c>
      <c r="E21" s="688">
        <v>3425561</v>
      </c>
      <c r="F21" s="689"/>
      <c r="G21" s="688">
        <f>E21-I21</f>
        <v>2898236</v>
      </c>
      <c r="H21" s="804"/>
      <c r="I21" s="688">
        <v>527325</v>
      </c>
      <c r="J21" s="690">
        <f t="shared" si="0"/>
        <v>3425561</v>
      </c>
    </row>
    <row r="22" spans="1:11">
      <c r="A22" s="634">
        <f t="shared" si="1"/>
        <v>13</v>
      </c>
      <c r="B22" s="683" t="s">
        <v>739</v>
      </c>
      <c r="C22" s="676"/>
      <c r="D22" s="684">
        <v>931</v>
      </c>
      <c r="E22" s="688">
        <v>0</v>
      </c>
      <c r="F22" s="689"/>
      <c r="G22" s="688">
        <f>E22</f>
        <v>0</v>
      </c>
      <c r="H22" s="804"/>
      <c r="I22" s="804"/>
      <c r="J22" s="690">
        <f t="shared" si="0"/>
        <v>0</v>
      </c>
    </row>
    <row r="23" spans="1:11">
      <c r="A23" s="634">
        <f t="shared" si="1"/>
        <v>14</v>
      </c>
      <c r="B23" s="692" t="s">
        <v>740</v>
      </c>
      <c r="C23" s="676"/>
      <c r="D23" s="681">
        <v>935</v>
      </c>
      <c r="E23" s="693">
        <v>5194496</v>
      </c>
      <c r="F23" s="689"/>
      <c r="G23" s="685">
        <f>E23</f>
        <v>5194496</v>
      </c>
      <c r="H23" s="803"/>
      <c r="I23" s="803"/>
      <c r="J23" s="694">
        <f t="shared" si="0"/>
        <v>5194496</v>
      </c>
      <c r="K23" s="635"/>
    </row>
    <row r="24" spans="1:11">
      <c r="A24" s="634">
        <f t="shared" si="1"/>
        <v>15</v>
      </c>
      <c r="B24" s="695" t="s">
        <v>741</v>
      </c>
      <c r="C24" s="676"/>
      <c r="D24" s="640"/>
      <c r="E24" s="696">
        <f>SUM(E10:E23)</f>
        <v>192457819</v>
      </c>
      <c r="F24" s="697"/>
      <c r="G24" s="696">
        <f>SUM(G10:G23)</f>
        <v>181964766</v>
      </c>
      <c r="H24" s="696">
        <f>SUM(H10:H23)</f>
        <v>264261</v>
      </c>
      <c r="I24" s="696">
        <f>SUM(I10:I23)</f>
        <v>10228792</v>
      </c>
      <c r="J24" s="696">
        <f>SUM(J10:J23)</f>
        <v>192457819</v>
      </c>
    </row>
    <row r="25" spans="1:11">
      <c r="A25" s="634"/>
      <c r="B25" s="676"/>
      <c r="C25" s="676"/>
      <c r="D25" s="676"/>
      <c r="E25" s="676"/>
      <c r="F25" s="676"/>
      <c r="G25" s="676"/>
      <c r="H25" s="676"/>
      <c r="I25" s="676"/>
      <c r="J25" s="676"/>
    </row>
    <row r="26" spans="1:11">
      <c r="A26" s="634">
        <f>A24+1</f>
        <v>16</v>
      </c>
      <c r="B26" s="676"/>
      <c r="C26" s="676"/>
      <c r="D26" s="676"/>
      <c r="E26" s="646" t="s">
        <v>742</v>
      </c>
      <c r="F26" s="676"/>
      <c r="G26" s="698">
        <f>'Attachment H-7'!I191</f>
        <v>0.1176002587197187</v>
      </c>
      <c r="H26" s="698">
        <f>'Attachment H-7'!G53</f>
        <v>0.19267290746414831</v>
      </c>
      <c r="I26" s="698">
        <v>0</v>
      </c>
      <c r="J26" s="676"/>
    </row>
    <row r="27" spans="1:11">
      <c r="A27" s="634">
        <f>A26+1</f>
        <v>17</v>
      </c>
      <c r="B27" s="676"/>
      <c r="C27" s="676"/>
      <c r="D27" s="676"/>
      <c r="E27" s="646" t="s">
        <v>743</v>
      </c>
      <c r="F27" s="676"/>
      <c r="G27" s="699">
        <f>G24*G26</f>
        <v>21399103.559473071</v>
      </c>
      <c r="H27" s="699">
        <f>H24*H26</f>
        <v>50915.935199383297</v>
      </c>
      <c r="I27" s="676">
        <f>I24*I26</f>
        <v>0</v>
      </c>
      <c r="J27" s="699">
        <f>SUM(G27:I27)</f>
        <v>21450019.494672455</v>
      </c>
    </row>
  </sheetData>
  <mergeCells count="2">
    <mergeCell ref="B1:G1"/>
    <mergeCell ref="B2:G2"/>
  </mergeCells>
  <pageMargins left="0.7" right="0.7" top="0.75" bottom="0.75" header="0.3" footer="0.3"/>
  <pageSetup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9"/>
  <sheetViews>
    <sheetView view="pageBreakPreview" topLeftCell="A43" zoomScale="80" zoomScaleNormal="100" zoomScaleSheetLayoutView="80" workbookViewId="0">
      <selection activeCell="C50" sqref="C50"/>
    </sheetView>
  </sheetViews>
  <sheetFormatPr defaultColWidth="8.88671875" defaultRowHeight="12.75"/>
  <cols>
    <col min="1" max="1" width="4" style="116" customWidth="1"/>
    <col min="2" max="2" width="23.77734375" style="116" customWidth="1"/>
    <col min="3" max="3" width="18.88671875" style="116" customWidth="1"/>
    <col min="4" max="4" width="11.21875" style="116" customWidth="1"/>
    <col min="5" max="5" width="9.44140625" style="116" customWidth="1"/>
    <col min="6" max="6" width="7.77734375" style="116" customWidth="1"/>
    <col min="7" max="7" width="10.44140625" style="116" customWidth="1"/>
    <col min="8" max="16" width="7.77734375" style="116" customWidth="1"/>
    <col min="17" max="17" width="10.6640625" style="116" bestFit="1" customWidth="1"/>
    <col min="18" max="16384" width="8.88671875" style="116"/>
  </cols>
  <sheetData>
    <row r="1" spans="1:27">
      <c r="E1" s="364" t="s">
        <v>203</v>
      </c>
      <c r="I1" s="366" t="s">
        <v>460</v>
      </c>
    </row>
    <row r="2" spans="1:27">
      <c r="E2" s="164" t="s">
        <v>439</v>
      </c>
    </row>
    <row r="3" spans="1:27">
      <c r="E3" s="225" t="str">
        <f>+'Attachment H-7'!D5</f>
        <v>PECO Energy Company</v>
      </c>
    </row>
    <row r="4" spans="1:27">
      <c r="I4" s="225"/>
    </row>
    <row r="5" spans="1:27">
      <c r="F5" s="181"/>
      <c r="G5" s="181"/>
      <c r="H5" s="181"/>
      <c r="I5" s="225"/>
    </row>
    <row r="6" spans="1:27" ht="15">
      <c r="E6" s="231" t="s">
        <v>472</v>
      </c>
      <c r="F6" s="235"/>
      <c r="G6" s="236"/>
      <c r="H6" s="235"/>
    </row>
    <row r="7" spans="1:27" ht="46.5" customHeight="1">
      <c r="A7" s="523"/>
      <c r="B7" s="524"/>
      <c r="C7" s="525" t="s">
        <v>709</v>
      </c>
      <c r="D7" s="525"/>
      <c r="E7" s="526" t="s">
        <v>953</v>
      </c>
      <c r="F7" s="237"/>
      <c r="G7" s="237"/>
      <c r="H7" s="237"/>
      <c r="S7" s="181"/>
      <c r="T7" s="181"/>
      <c r="U7" s="181"/>
      <c r="V7" s="181"/>
      <c r="W7" s="181"/>
      <c r="X7" s="181"/>
      <c r="Y7" s="181"/>
      <c r="Z7" s="181"/>
      <c r="AA7" s="181"/>
    </row>
    <row r="8" spans="1:27" ht="15">
      <c r="A8" s="523">
        <v>1</v>
      </c>
      <c r="B8" s="527"/>
      <c r="C8" s="116" t="s">
        <v>89</v>
      </c>
      <c r="D8" s="216"/>
      <c r="E8" s="956">
        <v>0</v>
      </c>
      <c r="F8" s="238"/>
      <c r="G8" s="340"/>
      <c r="H8" s="340"/>
      <c r="S8" s="233"/>
      <c r="T8" s="233"/>
      <c r="U8" s="233"/>
      <c r="V8" s="234"/>
      <c r="W8" s="235"/>
      <c r="X8" s="236"/>
      <c r="Y8" s="235"/>
      <c r="Z8" s="233"/>
      <c r="AA8" s="181"/>
    </row>
    <row r="9" spans="1:27" ht="15">
      <c r="A9" s="523">
        <v>2</v>
      </c>
      <c r="B9" s="527"/>
      <c r="C9" s="116" t="s">
        <v>88</v>
      </c>
      <c r="D9" s="216"/>
      <c r="E9" s="956">
        <v>0</v>
      </c>
      <c r="F9" s="238"/>
      <c r="G9" s="340"/>
      <c r="H9" s="340"/>
      <c r="S9" s="233"/>
      <c r="T9" s="232"/>
      <c r="U9" s="232"/>
      <c r="V9" s="237"/>
      <c r="W9" s="237"/>
      <c r="X9" s="237"/>
      <c r="Y9" s="237"/>
      <c r="Z9" s="237"/>
      <c r="AA9" s="181"/>
    </row>
    <row r="10" spans="1:27" ht="15">
      <c r="A10" s="523">
        <v>3</v>
      </c>
      <c r="B10" s="527"/>
      <c r="C10" s="116" t="s">
        <v>87</v>
      </c>
      <c r="D10" s="216"/>
      <c r="E10" s="956">
        <v>0</v>
      </c>
      <c r="F10" s="238"/>
      <c r="G10" s="340"/>
      <c r="H10" s="340"/>
      <c r="S10" s="233"/>
      <c r="T10" s="232"/>
      <c r="U10" s="232"/>
      <c r="V10" s="238"/>
      <c r="W10" s="238"/>
      <c r="X10" s="239"/>
      <c r="Y10" s="239"/>
      <c r="Z10" s="239"/>
      <c r="AA10" s="181"/>
    </row>
    <row r="11" spans="1:27" ht="15">
      <c r="A11" s="523">
        <v>4</v>
      </c>
      <c r="B11" s="527"/>
      <c r="C11" s="116" t="s">
        <v>79</v>
      </c>
      <c r="D11" s="216"/>
      <c r="E11" s="956">
        <v>0</v>
      </c>
      <c r="F11" s="238"/>
      <c r="G11" s="340"/>
      <c r="H11" s="340"/>
      <c r="S11" s="233"/>
      <c r="T11" s="232"/>
      <c r="U11" s="232"/>
      <c r="V11" s="238"/>
      <c r="W11" s="238"/>
      <c r="X11" s="239"/>
      <c r="Y11" s="239"/>
      <c r="Z11" s="239"/>
      <c r="AA11" s="181"/>
    </row>
    <row r="12" spans="1:27" ht="15.75" customHeight="1">
      <c r="A12" s="523">
        <v>5</v>
      </c>
      <c r="B12" s="527"/>
      <c r="C12" s="116" t="s">
        <v>78</v>
      </c>
      <c r="D12" s="216"/>
      <c r="E12" s="956">
        <v>0</v>
      </c>
      <c r="F12" s="238"/>
      <c r="G12" s="340"/>
      <c r="H12" s="340"/>
      <c r="S12" s="233"/>
      <c r="T12" s="232"/>
      <c r="U12" s="232"/>
      <c r="V12" s="238"/>
      <c r="W12" s="238"/>
      <c r="X12" s="239"/>
      <c r="Y12" s="239"/>
      <c r="Z12" s="239"/>
      <c r="AA12" s="181"/>
    </row>
    <row r="13" spans="1:27" ht="15">
      <c r="A13" s="523">
        <v>6</v>
      </c>
      <c r="B13" s="527"/>
      <c r="C13" s="116" t="s">
        <v>98</v>
      </c>
      <c r="D13" s="216"/>
      <c r="E13" s="956">
        <v>0</v>
      </c>
      <c r="F13" s="238"/>
      <c r="G13" s="340"/>
      <c r="H13" s="340"/>
      <c r="S13" s="233"/>
      <c r="T13" s="232"/>
      <c r="U13" s="232"/>
      <c r="V13" s="238"/>
      <c r="W13" s="238"/>
      <c r="X13" s="239"/>
      <c r="Y13" s="239"/>
      <c r="Z13" s="239"/>
      <c r="AA13" s="181"/>
    </row>
    <row r="14" spans="1:27" ht="15">
      <c r="A14" s="523">
        <v>7</v>
      </c>
      <c r="B14" s="527"/>
      <c r="C14" s="116" t="s">
        <v>86</v>
      </c>
      <c r="D14" s="216"/>
      <c r="E14" s="956">
        <v>0</v>
      </c>
      <c r="F14" s="238"/>
      <c r="G14" s="340"/>
      <c r="H14" s="340"/>
      <c r="S14" s="233"/>
      <c r="T14" s="233"/>
      <c r="U14" s="233"/>
      <c r="V14" s="233"/>
      <c r="W14" s="233"/>
      <c r="X14" s="233"/>
      <c r="Y14" s="233"/>
      <c r="Z14" s="233"/>
      <c r="AA14" s="181"/>
    </row>
    <row r="15" spans="1:27" ht="15">
      <c r="A15" s="523">
        <v>8</v>
      </c>
      <c r="B15" s="527"/>
      <c r="C15" s="116" t="s">
        <v>85</v>
      </c>
      <c r="D15" s="216"/>
      <c r="E15" s="956">
        <v>0</v>
      </c>
      <c r="F15" s="238"/>
      <c r="G15" s="340"/>
      <c r="H15" s="340"/>
      <c r="S15" s="233"/>
      <c r="T15" s="233"/>
      <c r="U15" s="233"/>
      <c r="V15" s="233"/>
      <c r="W15" s="233"/>
      <c r="X15" s="233"/>
      <c r="Y15" s="233"/>
      <c r="Z15" s="233"/>
      <c r="AA15" s="181"/>
    </row>
    <row r="16" spans="1:27" ht="15">
      <c r="A16" s="523">
        <v>9</v>
      </c>
      <c r="B16" s="527"/>
      <c r="C16" s="116" t="s">
        <v>84</v>
      </c>
      <c r="D16" s="216"/>
      <c r="E16" s="956">
        <v>0</v>
      </c>
      <c r="F16" s="238"/>
      <c r="G16" s="340"/>
      <c r="H16" s="340"/>
      <c r="S16" s="233"/>
      <c r="T16" s="233"/>
      <c r="U16" s="233"/>
      <c r="V16" s="233"/>
      <c r="W16" s="233"/>
      <c r="X16" s="233"/>
      <c r="Y16" s="233"/>
      <c r="Z16" s="233"/>
      <c r="AA16" s="181"/>
    </row>
    <row r="17" spans="1:27" ht="15">
      <c r="A17" s="523">
        <v>10</v>
      </c>
      <c r="B17" s="527"/>
      <c r="C17" s="116" t="s">
        <v>90</v>
      </c>
      <c r="D17" s="216"/>
      <c r="E17" s="956">
        <v>0</v>
      </c>
      <c r="F17" s="238"/>
      <c r="G17" s="340"/>
      <c r="H17" s="340"/>
      <c r="S17" s="233"/>
      <c r="T17" s="233"/>
      <c r="U17" s="233"/>
      <c r="V17" s="233"/>
      <c r="W17" s="233"/>
      <c r="X17" s="233"/>
      <c r="Y17" s="233"/>
      <c r="Z17" s="233"/>
      <c r="AA17" s="181"/>
    </row>
    <row r="18" spans="1:27" ht="15">
      <c r="A18" s="523">
        <v>11</v>
      </c>
      <c r="B18" s="527"/>
      <c r="C18" s="116" t="s">
        <v>83</v>
      </c>
      <c r="D18" s="216"/>
      <c r="E18" s="956">
        <v>0</v>
      </c>
      <c r="F18" s="238"/>
      <c r="G18" s="340"/>
      <c r="H18" s="340"/>
      <c r="S18" s="233"/>
      <c r="T18" s="233"/>
      <c r="U18" s="233"/>
      <c r="V18" s="233"/>
      <c r="W18" s="233"/>
      <c r="X18" s="233"/>
      <c r="Y18" s="233"/>
      <c r="Z18" s="233"/>
      <c r="AA18" s="181"/>
    </row>
    <row r="19" spans="1:27" ht="15">
      <c r="A19" s="523">
        <v>12</v>
      </c>
      <c r="B19" s="527"/>
      <c r="C19" s="116" t="s">
        <v>82</v>
      </c>
      <c r="D19" s="216"/>
      <c r="E19" s="956">
        <v>0</v>
      </c>
      <c r="F19" s="238"/>
      <c r="G19" s="340"/>
      <c r="H19" s="340"/>
      <c r="S19" s="233"/>
      <c r="T19" s="233"/>
      <c r="U19" s="233"/>
      <c r="V19" s="233"/>
      <c r="W19" s="233"/>
      <c r="X19" s="233"/>
      <c r="Y19" s="233"/>
      <c r="Z19" s="233"/>
      <c r="AA19" s="181"/>
    </row>
    <row r="20" spans="1:27" ht="15">
      <c r="A20" s="523">
        <v>13</v>
      </c>
      <c r="B20" s="527"/>
      <c r="C20" s="116" t="s">
        <v>89</v>
      </c>
      <c r="D20" s="216"/>
      <c r="E20" s="956">
        <v>0</v>
      </c>
      <c r="F20" s="238"/>
      <c r="G20" s="340"/>
      <c r="H20" s="340"/>
      <c r="S20" s="233"/>
      <c r="T20" s="233"/>
      <c r="U20" s="233"/>
      <c r="V20" s="233"/>
      <c r="W20" s="233"/>
      <c r="X20" s="233"/>
      <c r="Y20" s="233"/>
      <c r="Z20" s="233"/>
      <c r="AA20" s="181"/>
    </row>
    <row r="21" spans="1:27" ht="15">
      <c r="A21" s="523">
        <v>14</v>
      </c>
      <c r="B21" s="527"/>
      <c r="C21" s="116" t="s">
        <v>88</v>
      </c>
      <c r="D21" s="216"/>
      <c r="E21" s="956">
        <v>0</v>
      </c>
      <c r="F21" s="238"/>
      <c r="G21" s="340"/>
      <c r="H21" s="340"/>
      <c r="S21" s="233"/>
      <c r="T21" s="233"/>
      <c r="U21" s="233"/>
      <c r="V21" s="233"/>
      <c r="W21" s="233"/>
      <c r="X21" s="233"/>
      <c r="Y21" s="233"/>
      <c r="Z21" s="233"/>
      <c r="AA21" s="181"/>
    </row>
    <row r="22" spans="1:27" ht="15">
      <c r="A22" s="523">
        <v>15</v>
      </c>
      <c r="B22" s="527"/>
      <c r="C22" s="116" t="s">
        <v>87</v>
      </c>
      <c r="D22" s="216"/>
      <c r="E22" s="956">
        <v>0</v>
      </c>
      <c r="F22" s="238"/>
      <c r="G22" s="340"/>
      <c r="H22" s="340"/>
      <c r="S22" s="233"/>
      <c r="T22" s="233"/>
      <c r="U22" s="233"/>
      <c r="V22" s="233"/>
      <c r="W22" s="233"/>
      <c r="X22" s="233"/>
      <c r="Y22" s="233"/>
      <c r="Z22" s="233"/>
      <c r="AA22" s="181"/>
    </row>
    <row r="23" spans="1:27" ht="15">
      <c r="A23" s="523">
        <v>16</v>
      </c>
      <c r="B23" s="527"/>
      <c r="C23" s="116" t="s">
        <v>79</v>
      </c>
      <c r="D23" s="216"/>
      <c r="E23" s="956">
        <v>0</v>
      </c>
      <c r="F23" s="238"/>
      <c r="G23" s="340"/>
      <c r="H23" s="340"/>
      <c r="S23" s="233"/>
      <c r="T23" s="233"/>
      <c r="U23" s="233"/>
      <c r="V23" s="233"/>
      <c r="W23" s="233"/>
      <c r="X23" s="233"/>
      <c r="Y23" s="233"/>
      <c r="Z23" s="233"/>
      <c r="AA23" s="181"/>
    </row>
    <row r="24" spans="1:27" ht="15">
      <c r="A24" s="523">
        <v>17</v>
      </c>
      <c r="B24" s="527"/>
      <c r="C24" s="116" t="s">
        <v>78</v>
      </c>
      <c r="D24" s="216"/>
      <c r="E24" s="956">
        <v>0</v>
      </c>
      <c r="F24" s="238"/>
      <c r="G24" s="340"/>
      <c r="H24" s="340"/>
      <c r="S24" s="233"/>
      <c r="T24" s="233"/>
      <c r="U24" s="233"/>
      <c r="V24" s="233"/>
      <c r="W24" s="233"/>
      <c r="X24" s="233"/>
      <c r="Y24" s="233"/>
      <c r="Z24" s="233"/>
      <c r="AA24" s="181"/>
    </row>
    <row r="25" spans="1:27" ht="15">
      <c r="A25" s="523"/>
      <c r="B25" s="527"/>
      <c r="C25" s="528"/>
      <c r="D25" s="341"/>
      <c r="E25" s="341"/>
      <c r="F25" s="341"/>
      <c r="G25" s="341"/>
      <c r="H25" s="341"/>
      <c r="S25" s="233"/>
      <c r="T25" s="233"/>
      <c r="U25" s="233"/>
      <c r="V25" s="240"/>
      <c r="W25" s="239"/>
      <c r="X25" s="233"/>
      <c r="Y25" s="233"/>
      <c r="Z25" s="233"/>
      <c r="AA25" s="181"/>
    </row>
    <row r="26" spans="1:27" ht="15">
      <c r="A26" s="523">
        <v>18</v>
      </c>
      <c r="B26" s="529" t="s">
        <v>710</v>
      </c>
      <c r="C26" s="530"/>
      <c r="D26" s="341"/>
      <c r="E26" s="957">
        <f>AVERAGE(E8:E24)</f>
        <v>0</v>
      </c>
      <c r="F26" s="341"/>
      <c r="G26" s="341"/>
      <c r="H26" s="341"/>
      <c r="S26" s="233"/>
      <c r="T26" s="233"/>
      <c r="U26" s="233"/>
      <c r="V26" s="240"/>
      <c r="W26" s="239"/>
      <c r="X26" s="233"/>
      <c r="Y26" s="233"/>
      <c r="Z26" s="233"/>
      <c r="AA26" s="181"/>
    </row>
    <row r="27" spans="1:27" ht="15">
      <c r="A27" s="527"/>
      <c r="B27" s="527"/>
      <c r="C27" s="530"/>
      <c r="D27" s="341"/>
      <c r="E27" s="341"/>
      <c r="F27" s="216"/>
      <c r="G27" s="216"/>
      <c r="H27" s="216"/>
      <c r="S27" s="233"/>
      <c r="T27" s="233"/>
      <c r="U27" s="233"/>
      <c r="V27" s="233"/>
      <c r="W27" s="233"/>
      <c r="X27" s="233"/>
      <c r="Y27" s="233"/>
      <c r="Z27" s="233"/>
      <c r="AA27" s="181"/>
    </row>
    <row r="28" spans="1:27" ht="15">
      <c r="A28" s="527" t="s">
        <v>438</v>
      </c>
      <c r="B28" s="527"/>
      <c r="C28" s="527"/>
      <c r="D28" s="527"/>
      <c r="E28" s="527"/>
      <c r="F28" s="527"/>
      <c r="G28" s="527"/>
      <c r="H28" s="527"/>
      <c r="S28" s="233"/>
      <c r="T28" s="233"/>
      <c r="U28" s="233"/>
      <c r="V28" s="233"/>
      <c r="W28" s="233"/>
      <c r="X28" s="233"/>
      <c r="Y28" s="233"/>
      <c r="Z28" s="233"/>
      <c r="AA28" s="181"/>
    </row>
    <row r="29" spans="1:27" ht="15">
      <c r="A29" s="527"/>
      <c r="B29" s="531" t="s">
        <v>708</v>
      </c>
      <c r="C29" s="527"/>
      <c r="D29" s="527"/>
      <c r="E29" s="527"/>
      <c r="F29" s="527"/>
      <c r="G29" s="527"/>
      <c r="H29" s="527"/>
      <c r="S29" s="232"/>
      <c r="T29" s="181"/>
      <c r="U29" s="233"/>
      <c r="V29" s="233"/>
      <c r="W29" s="233"/>
      <c r="X29" s="233"/>
      <c r="Y29" s="233"/>
      <c r="Z29" s="233"/>
      <c r="AA29" s="181"/>
    </row>
    <row r="30" spans="1:27" ht="15">
      <c r="A30" s="527"/>
      <c r="B30" s="531"/>
      <c r="C30" s="527"/>
      <c r="D30" s="527"/>
      <c r="E30" s="527"/>
      <c r="F30" s="527"/>
      <c r="G30" s="527"/>
      <c r="H30" s="527"/>
      <c r="S30" s="531"/>
      <c r="U30" s="531"/>
      <c r="V30" s="531"/>
      <c r="W30" s="531"/>
      <c r="X30" s="531"/>
      <c r="Y30" s="531"/>
      <c r="Z30" s="531"/>
    </row>
    <row r="31" spans="1:27" ht="15">
      <c r="A31" s="527"/>
      <c r="B31" s="531"/>
      <c r="C31" s="527"/>
      <c r="D31" s="527"/>
      <c r="E31" s="527"/>
      <c r="F31" s="527"/>
      <c r="G31" s="527"/>
      <c r="H31" s="527"/>
      <c r="S31" s="531"/>
      <c r="T31" s="531"/>
      <c r="U31" s="531"/>
      <c r="V31" s="531"/>
      <c r="W31" s="531"/>
      <c r="X31" s="531"/>
      <c r="Y31" s="531"/>
      <c r="Z31" s="531"/>
    </row>
    <row r="32" spans="1:27" ht="15">
      <c r="A32" s="527"/>
      <c r="B32" s="527"/>
      <c r="C32" s="527"/>
      <c r="D32" s="527"/>
      <c r="E32" s="527"/>
      <c r="F32" s="527"/>
      <c r="G32" s="527"/>
      <c r="H32" s="527"/>
    </row>
    <row r="33" spans="1:17">
      <c r="A33" s="211"/>
      <c r="B33" s="117"/>
      <c r="C33" s="117"/>
      <c r="D33" s="1012"/>
      <c r="E33" s="1012"/>
      <c r="F33" s="118"/>
      <c r="G33" s="118"/>
      <c r="H33" s="363"/>
      <c r="I33" s="118"/>
      <c r="J33" s="118"/>
      <c r="K33" s="118"/>
    </row>
    <row r="34" spans="1:17">
      <c r="A34" s="211">
        <v>19</v>
      </c>
      <c r="B34" s="117" t="s">
        <v>80</v>
      </c>
      <c r="C34" s="117"/>
      <c r="D34" s="1012"/>
      <c r="E34" s="1012"/>
      <c r="F34" s="1012"/>
      <c r="G34" s="1012"/>
      <c r="H34" s="363"/>
      <c r="I34" s="1012"/>
      <c r="J34" s="1012"/>
      <c r="K34" s="1012"/>
      <c r="L34" s="1012"/>
    </row>
    <row r="35" spans="1:17">
      <c r="A35" s="211">
        <v>20</v>
      </c>
      <c r="B35" s="117"/>
      <c r="C35" s="117"/>
      <c r="D35" s="118"/>
      <c r="E35" s="118"/>
      <c r="F35" s="119"/>
      <c r="G35" s="118"/>
      <c r="H35" s="118"/>
      <c r="I35" s="118"/>
      <c r="J35" s="118"/>
      <c r="K35" s="118"/>
      <c r="L35" s="118"/>
    </row>
    <row r="36" spans="1:17">
      <c r="A36" s="170"/>
      <c r="B36" s="461" t="s">
        <v>63</v>
      </c>
      <c r="C36" s="345" t="s">
        <v>64</v>
      </c>
      <c r="D36" s="345" t="s">
        <v>65</v>
      </c>
      <c r="E36" s="345" t="s">
        <v>66</v>
      </c>
      <c r="F36" s="345" t="s">
        <v>67</v>
      </c>
      <c r="G36" s="346" t="s">
        <v>68</v>
      </c>
      <c r="H36" s="363"/>
      <c r="I36" s="363"/>
      <c r="J36" s="363"/>
      <c r="K36" s="363"/>
      <c r="L36" s="363"/>
      <c r="M36" s="363"/>
      <c r="N36" s="363"/>
      <c r="O36" s="363"/>
      <c r="P36" s="363"/>
      <c r="Q36" s="363"/>
    </row>
    <row r="37" spans="1:17">
      <c r="A37" s="211"/>
      <c r="B37" s="354"/>
      <c r="C37" s="363"/>
      <c r="D37" s="363"/>
      <c r="E37" s="363"/>
      <c r="F37" s="363"/>
      <c r="G37" s="347"/>
      <c r="H37" s="363"/>
      <c r="I37" s="118"/>
      <c r="J37" s="363"/>
      <c r="K37" s="118"/>
      <c r="L37" s="118"/>
      <c r="M37" s="181"/>
      <c r="N37" s="181"/>
      <c r="O37" s="181"/>
      <c r="P37" s="181"/>
      <c r="Q37" s="181"/>
    </row>
    <row r="38" spans="1:17">
      <c r="A38" s="211"/>
      <c r="B38" s="460"/>
      <c r="C38" s="363"/>
      <c r="D38" s="363"/>
      <c r="E38" s="363"/>
      <c r="F38" s="363"/>
      <c r="G38" s="336"/>
      <c r="H38" s="363"/>
      <c r="I38" s="363"/>
      <c r="J38" s="363"/>
      <c r="K38" s="363"/>
      <c r="L38" s="363"/>
      <c r="M38" s="363"/>
      <c r="N38" s="363"/>
      <c r="O38" s="363"/>
      <c r="P38" s="363"/>
      <c r="Q38" s="363"/>
    </row>
    <row r="39" spans="1:17" ht="25.5">
      <c r="A39" s="211"/>
      <c r="B39" s="73" t="s">
        <v>470</v>
      </c>
      <c r="C39" s="355" t="s">
        <v>495</v>
      </c>
      <c r="D39" s="343" t="s">
        <v>11</v>
      </c>
      <c r="E39" s="363" t="s">
        <v>714</v>
      </c>
      <c r="F39" s="352" t="s">
        <v>380</v>
      </c>
      <c r="G39" s="348" t="s">
        <v>317</v>
      </c>
      <c r="H39" s="181"/>
      <c r="I39" s="181"/>
      <c r="J39" s="181"/>
      <c r="K39" s="181"/>
      <c r="L39" s="181"/>
      <c r="M39" s="181"/>
      <c r="N39" s="181"/>
      <c r="O39" s="181"/>
      <c r="P39" s="363"/>
      <c r="Q39" s="363"/>
    </row>
    <row r="40" spans="1:17" ht="30" customHeight="1">
      <c r="A40" s="211"/>
      <c r="B40" s="460"/>
      <c r="C40" s="363"/>
      <c r="D40" s="343" t="s">
        <v>855</v>
      </c>
      <c r="E40" s="363"/>
      <c r="F40" s="343" t="s">
        <v>715</v>
      </c>
      <c r="G40" s="532" t="s">
        <v>716</v>
      </c>
      <c r="H40" s="363"/>
      <c r="I40" s="363"/>
      <c r="J40" s="363"/>
      <c r="K40" s="363"/>
      <c r="L40" s="363"/>
      <c r="M40" s="363"/>
      <c r="N40" s="363"/>
      <c r="O40" s="363"/>
      <c r="P40" s="363"/>
      <c r="Q40" s="363"/>
    </row>
    <row r="41" spans="1:17">
      <c r="A41" s="211">
        <v>21</v>
      </c>
      <c r="B41" s="354" t="str">
        <f>+'1-Project Rev Req'!C66</f>
        <v xml:space="preserve">Zonal </v>
      </c>
      <c r="C41" s="118" t="str">
        <f>+'1-Project Rev Req'!D66</f>
        <v>Zonal</v>
      </c>
      <c r="D41" s="223">
        <f>+'3-Project True-up'!H18+'3-Project True-up'!I18</f>
        <v>0</v>
      </c>
      <c r="E41" s="192">
        <v>17</v>
      </c>
      <c r="F41" s="958">
        <f>+E26</f>
        <v>0</v>
      </c>
      <c r="G41" s="353">
        <f>+D41*E41*F41</f>
        <v>0</v>
      </c>
      <c r="H41" s="223"/>
      <c r="I41" s="40"/>
      <c r="J41" s="40"/>
      <c r="K41" s="40"/>
      <c r="L41" s="40"/>
      <c r="M41" s="181"/>
      <c r="N41" s="181"/>
      <c r="O41" s="181"/>
      <c r="P41" s="181"/>
      <c r="Q41" s="181"/>
    </row>
    <row r="42" spans="1:17">
      <c r="A42" s="211" t="s">
        <v>711</v>
      </c>
      <c r="B42" s="591" t="s">
        <v>703</v>
      </c>
      <c r="C42" s="592" t="s">
        <v>773</v>
      </c>
      <c r="D42" s="223">
        <f>+'3-Project True-up'!H19+'3-Project True-up'!I19</f>
        <v>0</v>
      </c>
      <c r="E42" s="192">
        <v>17</v>
      </c>
      <c r="F42" s="958">
        <f>+F41</f>
        <v>0</v>
      </c>
      <c r="G42" s="353">
        <f t="shared" ref="G42:G69" si="0">+D42*E42*F42</f>
        <v>0</v>
      </c>
      <c r="H42" s="223"/>
      <c r="I42" s="118"/>
      <c r="J42" s="223"/>
      <c r="K42" s="40"/>
      <c r="L42" s="40"/>
      <c r="M42" s="181"/>
      <c r="N42" s="181"/>
      <c r="O42" s="181"/>
      <c r="P42" s="15"/>
      <c r="Q42" s="342"/>
    </row>
    <row r="43" spans="1:17">
      <c r="A43" s="211" t="s">
        <v>712</v>
      </c>
      <c r="B43" s="591" t="s">
        <v>704</v>
      </c>
      <c r="C43" s="592" t="s">
        <v>774</v>
      </c>
      <c r="D43" s="223">
        <f>+'3-Project True-up'!H20+'3-Project True-up'!I20</f>
        <v>0</v>
      </c>
      <c r="E43" s="192">
        <v>17</v>
      </c>
      <c r="F43" s="958">
        <f t="shared" ref="F43:F69" si="1">+F42</f>
        <v>0</v>
      </c>
      <c r="G43" s="353">
        <f t="shared" si="0"/>
        <v>0</v>
      </c>
      <c r="H43" s="223"/>
      <c r="I43" s="118"/>
      <c r="J43" s="223"/>
      <c r="K43" s="40"/>
      <c r="L43" s="40"/>
      <c r="M43" s="181"/>
      <c r="N43" s="181"/>
      <c r="O43" s="181"/>
      <c r="P43" s="15"/>
      <c r="Q43" s="342"/>
    </row>
    <row r="44" spans="1:17">
      <c r="A44" s="211" t="s">
        <v>713</v>
      </c>
      <c r="B44" s="591" t="s">
        <v>705</v>
      </c>
      <c r="C44" s="592" t="s">
        <v>775</v>
      </c>
      <c r="D44" s="223">
        <f>+'3-Project True-up'!H21+'3-Project True-up'!I21</f>
        <v>0</v>
      </c>
      <c r="E44" s="192">
        <v>17</v>
      </c>
      <c r="F44" s="958">
        <f t="shared" si="1"/>
        <v>0</v>
      </c>
      <c r="G44" s="353">
        <f t="shared" si="0"/>
        <v>0</v>
      </c>
      <c r="H44" s="223"/>
      <c r="I44" s="118"/>
      <c r="J44" s="223"/>
      <c r="K44" s="40"/>
      <c r="L44" s="40"/>
      <c r="M44" s="181"/>
      <c r="N44" s="181"/>
      <c r="O44" s="181"/>
      <c r="P44" s="15"/>
      <c r="Q44" s="342"/>
    </row>
    <row r="45" spans="1:17">
      <c r="A45" s="211" t="s">
        <v>316</v>
      </c>
      <c r="B45" s="591" t="s">
        <v>706</v>
      </c>
      <c r="C45" s="592" t="s">
        <v>776</v>
      </c>
      <c r="D45" s="223">
        <f>+'3-Project True-up'!H22+'3-Project True-up'!I22</f>
        <v>0</v>
      </c>
      <c r="E45" s="192">
        <v>17</v>
      </c>
      <c r="F45" s="958">
        <f t="shared" si="1"/>
        <v>0</v>
      </c>
      <c r="G45" s="353">
        <f t="shared" si="0"/>
        <v>0</v>
      </c>
      <c r="H45" s="223"/>
      <c r="I45" s="118"/>
      <c r="J45" s="223"/>
      <c r="K45" s="40"/>
      <c r="L45" s="40"/>
      <c r="M45" s="181"/>
      <c r="N45" s="181"/>
      <c r="O45" s="181"/>
      <c r="P45" s="15"/>
      <c r="Q45" s="342"/>
    </row>
    <row r="46" spans="1:17">
      <c r="A46" s="211"/>
      <c r="B46" s="591" t="s">
        <v>797</v>
      </c>
      <c r="C46" s="592" t="s">
        <v>777</v>
      </c>
      <c r="D46" s="223">
        <f>+'3-Project True-up'!H23+'3-Project True-up'!I23</f>
        <v>0</v>
      </c>
      <c r="E46" s="192">
        <v>17</v>
      </c>
      <c r="F46" s="958">
        <f t="shared" si="1"/>
        <v>0</v>
      </c>
      <c r="G46" s="353">
        <f t="shared" si="0"/>
        <v>0</v>
      </c>
      <c r="H46" s="223"/>
      <c r="I46" s="118"/>
      <c r="J46" s="223"/>
      <c r="K46" s="40"/>
      <c r="L46" s="40"/>
      <c r="M46" s="181"/>
      <c r="N46" s="181"/>
      <c r="O46" s="181"/>
      <c r="P46" s="15"/>
      <c r="Q46" s="342"/>
    </row>
    <row r="47" spans="1:17">
      <c r="A47" s="211"/>
      <c r="B47" s="591" t="s">
        <v>798</v>
      </c>
      <c r="C47" s="592" t="s">
        <v>778</v>
      </c>
      <c r="D47" s="223">
        <f>+'3-Project True-up'!H24+'3-Project True-up'!I24</f>
        <v>0</v>
      </c>
      <c r="E47" s="192">
        <v>17</v>
      </c>
      <c r="F47" s="958">
        <f t="shared" si="1"/>
        <v>0</v>
      </c>
      <c r="G47" s="353">
        <f t="shared" si="0"/>
        <v>0</v>
      </c>
      <c r="H47" s="223"/>
      <c r="I47" s="118"/>
      <c r="J47" s="223"/>
      <c r="K47" s="40"/>
      <c r="L47" s="40"/>
      <c r="M47" s="181"/>
      <c r="N47" s="181"/>
      <c r="O47" s="181"/>
      <c r="P47" s="15"/>
      <c r="Q47" s="342"/>
    </row>
    <row r="48" spans="1:17">
      <c r="A48" s="211"/>
      <c r="B48" s="591" t="s">
        <v>799</v>
      </c>
      <c r="C48" s="592" t="s">
        <v>779</v>
      </c>
      <c r="D48" s="223">
        <f>+'3-Project True-up'!H25+'3-Project True-up'!I25</f>
        <v>0</v>
      </c>
      <c r="E48" s="192">
        <v>17</v>
      </c>
      <c r="F48" s="958">
        <f t="shared" si="1"/>
        <v>0</v>
      </c>
      <c r="G48" s="353">
        <f t="shared" ref="G48:G57" si="2">+D48*E48*F48</f>
        <v>0</v>
      </c>
      <c r="H48" s="223"/>
      <c r="I48" s="118"/>
      <c r="J48" s="223"/>
      <c r="K48" s="40"/>
      <c r="L48" s="40"/>
      <c r="M48" s="181"/>
      <c r="N48" s="181"/>
      <c r="O48" s="181"/>
      <c r="P48" s="15"/>
      <c r="Q48" s="342"/>
    </row>
    <row r="49" spans="1:17">
      <c r="A49" s="211"/>
      <c r="B49" s="591" t="s">
        <v>800</v>
      </c>
      <c r="C49" s="592" t="s">
        <v>780</v>
      </c>
      <c r="D49" s="223">
        <f>+'3-Project True-up'!H26+'3-Project True-up'!I26</f>
        <v>0</v>
      </c>
      <c r="E49" s="192">
        <v>17</v>
      </c>
      <c r="F49" s="958">
        <f t="shared" si="1"/>
        <v>0</v>
      </c>
      <c r="G49" s="353">
        <f t="shared" si="2"/>
        <v>0</v>
      </c>
      <c r="H49" s="223"/>
      <c r="I49" s="118"/>
      <c r="J49" s="223"/>
      <c r="K49" s="40"/>
      <c r="L49" s="40"/>
      <c r="M49" s="181"/>
      <c r="N49" s="181"/>
      <c r="O49" s="181"/>
      <c r="P49" s="15"/>
      <c r="Q49" s="342"/>
    </row>
    <row r="50" spans="1:17">
      <c r="A50" s="211"/>
      <c r="B50" s="591" t="s">
        <v>801</v>
      </c>
      <c r="C50" s="592" t="s">
        <v>781</v>
      </c>
      <c r="D50" s="223">
        <f>+'3-Project True-up'!H27+'3-Project True-up'!I27</f>
        <v>0</v>
      </c>
      <c r="E50" s="192">
        <v>17</v>
      </c>
      <c r="F50" s="958">
        <f t="shared" si="1"/>
        <v>0</v>
      </c>
      <c r="G50" s="353">
        <f t="shared" si="2"/>
        <v>0</v>
      </c>
      <c r="H50" s="223"/>
      <c r="I50" s="118"/>
      <c r="J50" s="223"/>
      <c r="K50" s="40"/>
      <c r="L50" s="40"/>
      <c r="M50" s="181"/>
      <c r="N50" s="181"/>
      <c r="O50" s="181"/>
      <c r="P50" s="15"/>
      <c r="Q50" s="342"/>
    </row>
    <row r="51" spans="1:17">
      <c r="A51" s="211"/>
      <c r="B51" s="591" t="s">
        <v>802</v>
      </c>
      <c r="C51" s="592" t="s">
        <v>782</v>
      </c>
      <c r="D51" s="223">
        <f>+'3-Project True-up'!H28+'3-Project True-up'!I28</f>
        <v>0</v>
      </c>
      <c r="E51" s="192">
        <v>17</v>
      </c>
      <c r="F51" s="958">
        <f t="shared" si="1"/>
        <v>0</v>
      </c>
      <c r="G51" s="353">
        <f t="shared" si="2"/>
        <v>0</v>
      </c>
      <c r="H51" s="223"/>
      <c r="I51" s="118"/>
      <c r="J51" s="223"/>
      <c r="K51" s="40"/>
      <c r="L51" s="40"/>
      <c r="M51" s="181"/>
      <c r="N51" s="181"/>
      <c r="O51" s="181"/>
      <c r="P51" s="15"/>
      <c r="Q51" s="342"/>
    </row>
    <row r="52" spans="1:17">
      <c r="A52" s="211"/>
      <c r="B52" s="591" t="s">
        <v>803</v>
      </c>
      <c r="C52" s="592" t="s">
        <v>773</v>
      </c>
      <c r="D52" s="223">
        <f>+'3-Project True-up'!H29+'3-Project True-up'!I29</f>
        <v>0</v>
      </c>
      <c r="E52" s="192">
        <v>17</v>
      </c>
      <c r="F52" s="958">
        <f t="shared" si="1"/>
        <v>0</v>
      </c>
      <c r="G52" s="353">
        <f t="shared" si="2"/>
        <v>0</v>
      </c>
      <c r="H52" s="223"/>
      <c r="I52" s="118"/>
      <c r="J52" s="223"/>
      <c r="K52" s="40"/>
      <c r="L52" s="40"/>
      <c r="M52" s="181"/>
      <c r="N52" s="181"/>
      <c r="O52" s="181"/>
      <c r="P52" s="15"/>
      <c r="Q52" s="342"/>
    </row>
    <row r="53" spans="1:17">
      <c r="A53" s="211"/>
      <c r="B53" s="591" t="s">
        <v>804</v>
      </c>
      <c r="C53" s="592" t="s">
        <v>783</v>
      </c>
      <c r="D53" s="223">
        <f>+'3-Project True-up'!H30+'3-Project True-up'!I30</f>
        <v>0</v>
      </c>
      <c r="E53" s="192">
        <v>17</v>
      </c>
      <c r="F53" s="958">
        <f t="shared" si="1"/>
        <v>0</v>
      </c>
      <c r="G53" s="353">
        <f t="shared" si="2"/>
        <v>0</v>
      </c>
      <c r="H53" s="223"/>
      <c r="I53" s="118"/>
      <c r="J53" s="223"/>
      <c r="K53" s="40"/>
      <c r="L53" s="40"/>
      <c r="M53" s="181"/>
      <c r="N53" s="181"/>
      <c r="O53" s="181"/>
      <c r="P53" s="15"/>
      <c r="Q53" s="342"/>
    </row>
    <row r="54" spans="1:17">
      <c r="A54" s="211"/>
      <c r="B54" s="591" t="s">
        <v>805</v>
      </c>
      <c r="C54" s="592" t="s">
        <v>784</v>
      </c>
      <c r="D54" s="223">
        <f>+'3-Project True-up'!H31+'3-Project True-up'!I31</f>
        <v>0</v>
      </c>
      <c r="E54" s="192">
        <v>17</v>
      </c>
      <c r="F54" s="958">
        <f t="shared" si="1"/>
        <v>0</v>
      </c>
      <c r="G54" s="353">
        <f t="shared" si="2"/>
        <v>0</v>
      </c>
      <c r="H54" s="223"/>
      <c r="I54" s="118"/>
      <c r="J54" s="223"/>
      <c r="K54" s="40"/>
      <c r="L54" s="40"/>
      <c r="M54" s="181"/>
      <c r="N54" s="181"/>
      <c r="O54" s="181"/>
      <c r="P54" s="15"/>
      <c r="Q54" s="342"/>
    </row>
    <row r="55" spans="1:17">
      <c r="A55" s="211"/>
      <c r="B55" s="591" t="s">
        <v>806</v>
      </c>
      <c r="C55" s="592" t="s">
        <v>785</v>
      </c>
      <c r="D55" s="223">
        <f>+'3-Project True-up'!H32+'3-Project True-up'!I32</f>
        <v>0</v>
      </c>
      <c r="E55" s="192">
        <v>17</v>
      </c>
      <c r="F55" s="958">
        <f t="shared" si="1"/>
        <v>0</v>
      </c>
      <c r="G55" s="353">
        <f t="shared" si="2"/>
        <v>0</v>
      </c>
      <c r="H55" s="223"/>
      <c r="I55" s="118"/>
      <c r="J55" s="223"/>
      <c r="K55" s="40"/>
      <c r="L55" s="40"/>
      <c r="M55" s="181"/>
      <c r="N55" s="181"/>
      <c r="O55" s="181"/>
      <c r="P55" s="15"/>
      <c r="Q55" s="342"/>
    </row>
    <row r="56" spans="1:17">
      <c r="A56" s="211"/>
      <c r="B56" s="591" t="s">
        <v>807</v>
      </c>
      <c r="C56" s="592" t="s">
        <v>786</v>
      </c>
      <c r="D56" s="223">
        <f>+'3-Project True-up'!H33+'3-Project True-up'!I33</f>
        <v>0</v>
      </c>
      <c r="E56" s="192">
        <v>17</v>
      </c>
      <c r="F56" s="958">
        <f t="shared" si="1"/>
        <v>0</v>
      </c>
      <c r="G56" s="353">
        <f t="shared" si="2"/>
        <v>0</v>
      </c>
      <c r="H56" s="223"/>
      <c r="I56" s="118"/>
      <c r="J56" s="223"/>
      <c r="K56" s="40"/>
      <c r="L56" s="40"/>
      <c r="M56" s="181"/>
      <c r="N56" s="181"/>
      <c r="O56" s="181"/>
      <c r="P56" s="15"/>
      <c r="Q56" s="342"/>
    </row>
    <row r="57" spans="1:17">
      <c r="A57" s="211"/>
      <c r="B57" s="591" t="s">
        <v>808</v>
      </c>
      <c r="C57" s="592" t="s">
        <v>787</v>
      </c>
      <c r="D57" s="223">
        <f>+'3-Project True-up'!H34+'3-Project True-up'!I34</f>
        <v>0</v>
      </c>
      <c r="E57" s="192">
        <v>17</v>
      </c>
      <c r="F57" s="958">
        <f t="shared" si="1"/>
        <v>0</v>
      </c>
      <c r="G57" s="353">
        <f t="shared" si="2"/>
        <v>0</v>
      </c>
      <c r="H57" s="223"/>
      <c r="I57" s="118"/>
      <c r="J57" s="223"/>
      <c r="K57" s="40"/>
      <c r="L57" s="40"/>
      <c r="M57" s="181"/>
      <c r="N57" s="181"/>
      <c r="O57" s="181"/>
      <c r="P57" s="15"/>
      <c r="Q57" s="342"/>
    </row>
    <row r="58" spans="1:17">
      <c r="A58" s="211"/>
      <c r="B58" s="591" t="s">
        <v>809</v>
      </c>
      <c r="C58" s="592" t="s">
        <v>788</v>
      </c>
      <c r="D58" s="223">
        <f>+'3-Project True-up'!H35+'3-Project True-up'!I35</f>
        <v>0</v>
      </c>
      <c r="E58" s="192">
        <v>17</v>
      </c>
      <c r="F58" s="958">
        <f>+F47</f>
        <v>0</v>
      </c>
      <c r="G58" s="353">
        <f t="shared" si="0"/>
        <v>0</v>
      </c>
      <c r="H58" s="223"/>
      <c r="I58" s="181"/>
      <c r="J58" s="181"/>
      <c r="K58" s="40"/>
      <c r="L58" s="40"/>
      <c r="M58" s="181"/>
      <c r="N58" s="181"/>
      <c r="O58" s="181"/>
      <c r="P58" s="15"/>
      <c r="Q58" s="342"/>
    </row>
    <row r="59" spans="1:17">
      <c r="A59" s="211"/>
      <c r="B59" s="591" t="s">
        <v>810</v>
      </c>
      <c r="C59" s="592" t="s">
        <v>789</v>
      </c>
      <c r="D59" s="223">
        <f>+'3-Project True-up'!H36+'3-Project True-up'!I36</f>
        <v>0</v>
      </c>
      <c r="E59" s="192">
        <v>17</v>
      </c>
      <c r="F59" s="958">
        <f t="shared" si="1"/>
        <v>0</v>
      </c>
      <c r="G59" s="353">
        <f t="shared" si="0"/>
        <v>0</v>
      </c>
      <c r="H59" s="223"/>
      <c r="I59" s="181"/>
      <c r="J59" s="181"/>
      <c r="K59" s="40"/>
      <c r="L59" s="40"/>
      <c r="M59" s="181"/>
      <c r="N59" s="181"/>
      <c r="O59" s="181"/>
      <c r="P59" s="15"/>
      <c r="Q59" s="342"/>
    </row>
    <row r="60" spans="1:17">
      <c r="A60" s="211"/>
      <c r="B60" s="591" t="s">
        <v>811</v>
      </c>
      <c r="C60" s="592" t="s">
        <v>790</v>
      </c>
      <c r="D60" s="223">
        <f>+'3-Project True-up'!H37+'3-Project True-up'!I37</f>
        <v>0</v>
      </c>
      <c r="E60" s="192">
        <v>17</v>
      </c>
      <c r="F60" s="958">
        <f t="shared" si="1"/>
        <v>0</v>
      </c>
      <c r="G60" s="353">
        <f t="shared" si="0"/>
        <v>0</v>
      </c>
      <c r="H60" s="223"/>
      <c r="I60" s="181"/>
      <c r="J60" s="181"/>
      <c r="K60" s="40"/>
      <c r="L60" s="40"/>
      <c r="M60" s="181"/>
      <c r="N60" s="181"/>
      <c r="O60" s="181"/>
      <c r="P60" s="15"/>
      <c r="Q60" s="342"/>
    </row>
    <row r="61" spans="1:17">
      <c r="A61" s="211"/>
      <c r="B61" s="591" t="s">
        <v>812</v>
      </c>
      <c r="C61" s="592" t="s">
        <v>791</v>
      </c>
      <c r="D61" s="223">
        <f>+'3-Project True-up'!H38+'3-Project True-up'!I38</f>
        <v>0</v>
      </c>
      <c r="E61" s="192">
        <v>17</v>
      </c>
      <c r="F61" s="958">
        <f t="shared" si="1"/>
        <v>0</v>
      </c>
      <c r="G61" s="353">
        <f t="shared" si="0"/>
        <v>0</v>
      </c>
      <c r="H61" s="223"/>
      <c r="K61" s="40"/>
      <c r="L61" s="40"/>
      <c r="M61" s="181"/>
      <c r="N61" s="181"/>
      <c r="O61" s="181"/>
      <c r="P61" s="15"/>
      <c r="Q61" s="342"/>
    </row>
    <row r="62" spans="1:17">
      <c r="A62" s="211"/>
      <c r="B62" s="591" t="s">
        <v>813</v>
      </c>
      <c r="C62" s="592" t="s">
        <v>792</v>
      </c>
      <c r="D62" s="223">
        <f>+'3-Project True-up'!H39+'3-Project True-up'!I39</f>
        <v>0</v>
      </c>
      <c r="E62" s="192">
        <v>17</v>
      </c>
      <c r="F62" s="958">
        <f t="shared" si="1"/>
        <v>0</v>
      </c>
      <c r="G62" s="353">
        <f t="shared" si="0"/>
        <v>0</v>
      </c>
      <c r="H62" s="223"/>
      <c r="K62" s="40"/>
      <c r="L62" s="40"/>
      <c r="M62" s="181"/>
      <c r="N62" s="181"/>
      <c r="O62" s="181"/>
      <c r="P62" s="15"/>
      <c r="Q62" s="342"/>
    </row>
    <row r="63" spans="1:17">
      <c r="A63" s="211"/>
      <c r="B63" s="591" t="s">
        <v>814</v>
      </c>
      <c r="C63" s="592" t="s">
        <v>793</v>
      </c>
      <c r="D63" s="223">
        <f>+'3-Project True-up'!H40+'3-Project True-up'!I40</f>
        <v>0</v>
      </c>
      <c r="E63" s="192">
        <v>17</v>
      </c>
      <c r="F63" s="958">
        <f t="shared" si="1"/>
        <v>0</v>
      </c>
      <c r="G63" s="353">
        <f t="shared" si="0"/>
        <v>0</v>
      </c>
      <c r="H63" s="223"/>
      <c r="K63" s="40"/>
      <c r="L63" s="40"/>
      <c r="M63" s="181"/>
      <c r="N63" s="181"/>
      <c r="O63" s="181"/>
      <c r="P63" s="15"/>
      <c r="Q63" s="342"/>
    </row>
    <row r="64" spans="1:17">
      <c r="A64" s="211"/>
      <c r="B64" s="591" t="s">
        <v>815</v>
      </c>
      <c r="C64" s="592" t="s">
        <v>794</v>
      </c>
      <c r="D64" s="223">
        <f>+'3-Project True-up'!H41+'3-Project True-up'!I41</f>
        <v>0</v>
      </c>
      <c r="E64" s="192">
        <v>17</v>
      </c>
      <c r="F64" s="958">
        <f t="shared" si="1"/>
        <v>0</v>
      </c>
      <c r="G64" s="353">
        <f t="shared" si="0"/>
        <v>0</v>
      </c>
      <c r="H64" s="223"/>
      <c r="K64" s="40"/>
      <c r="L64" s="40"/>
      <c r="M64" s="181"/>
      <c r="N64" s="181"/>
      <c r="O64" s="181"/>
      <c r="P64" s="15"/>
      <c r="Q64" s="342"/>
    </row>
    <row r="65" spans="1:17">
      <c r="A65" s="211"/>
      <c r="B65" s="591" t="s">
        <v>816</v>
      </c>
      <c r="C65" s="592" t="s">
        <v>795</v>
      </c>
      <c r="D65" s="223">
        <f>+'3-Project True-up'!H42+'3-Project True-up'!I42</f>
        <v>0</v>
      </c>
      <c r="E65" s="192">
        <v>17</v>
      </c>
      <c r="F65" s="958">
        <f t="shared" si="1"/>
        <v>0</v>
      </c>
      <c r="G65" s="353">
        <f t="shared" si="0"/>
        <v>0</v>
      </c>
      <c r="H65" s="223"/>
      <c r="K65" s="40"/>
      <c r="L65" s="40"/>
      <c r="M65" s="181"/>
      <c r="N65" s="181"/>
      <c r="O65" s="181"/>
      <c r="P65" s="15"/>
      <c r="Q65" s="342"/>
    </row>
    <row r="66" spans="1:17">
      <c r="A66" s="211"/>
      <c r="B66" s="591" t="s">
        <v>817</v>
      </c>
      <c r="C66" s="592" t="s">
        <v>796</v>
      </c>
      <c r="D66" s="223">
        <f>+'3-Project True-up'!H43+'3-Project True-up'!I43</f>
        <v>0</v>
      </c>
      <c r="E66" s="192">
        <v>17</v>
      </c>
      <c r="F66" s="958">
        <f t="shared" si="1"/>
        <v>0</v>
      </c>
      <c r="G66" s="353">
        <f t="shared" si="0"/>
        <v>0</v>
      </c>
      <c r="H66" s="223"/>
      <c r="K66" s="40"/>
      <c r="L66" s="40"/>
      <c r="M66" s="181"/>
      <c r="N66" s="181"/>
      <c r="O66" s="181"/>
      <c r="P66" s="15"/>
      <c r="Q66" s="342"/>
    </row>
    <row r="67" spans="1:17">
      <c r="A67" s="211"/>
      <c r="B67" s="591"/>
      <c r="C67" s="604"/>
      <c r="D67" s="223">
        <f>+'3-Project True-up'!H44+'3-Project True-up'!I44</f>
        <v>0</v>
      </c>
      <c r="E67" s="192">
        <v>17</v>
      </c>
      <c r="F67" s="958">
        <f t="shared" si="1"/>
        <v>0</v>
      </c>
      <c r="G67" s="353">
        <f t="shared" si="0"/>
        <v>0</v>
      </c>
      <c r="H67" s="223"/>
      <c r="K67" s="40"/>
      <c r="L67" s="40"/>
      <c r="M67" s="181"/>
      <c r="N67" s="181"/>
      <c r="O67" s="181"/>
      <c r="P67" s="15"/>
      <c r="Q67" s="342"/>
    </row>
    <row r="68" spans="1:17">
      <c r="A68" s="211"/>
      <c r="B68" s="591"/>
      <c r="C68" s="604"/>
      <c r="D68" s="223">
        <f>+'3-Project True-up'!H45+'3-Project True-up'!I45</f>
        <v>0</v>
      </c>
      <c r="E68" s="192">
        <v>17</v>
      </c>
      <c r="F68" s="958">
        <f t="shared" si="1"/>
        <v>0</v>
      </c>
      <c r="G68" s="353">
        <f t="shared" si="0"/>
        <v>0</v>
      </c>
      <c r="H68" s="223"/>
      <c r="K68" s="40"/>
      <c r="L68" s="40"/>
      <c r="M68" s="181"/>
      <c r="N68" s="181"/>
      <c r="O68" s="181"/>
      <c r="P68" s="15"/>
      <c r="Q68" s="342"/>
    </row>
    <row r="69" spans="1:17">
      <c r="A69" s="211"/>
      <c r="B69" s="591"/>
      <c r="C69" s="592"/>
      <c r="D69" s="223">
        <f>+'3-Project True-up'!H46+'3-Project True-up'!I46</f>
        <v>0</v>
      </c>
      <c r="E69" s="192">
        <v>17</v>
      </c>
      <c r="F69" s="958">
        <f t="shared" si="1"/>
        <v>0</v>
      </c>
      <c r="G69" s="353">
        <f t="shared" si="0"/>
        <v>0</v>
      </c>
      <c r="H69" s="223"/>
      <c r="K69" s="40"/>
      <c r="L69" s="40"/>
      <c r="M69" s="181"/>
      <c r="N69" s="181"/>
      <c r="O69" s="181"/>
      <c r="P69" s="15"/>
      <c r="Q69" s="342"/>
    </row>
    <row r="70" spans="1:17">
      <c r="A70" s="211"/>
      <c r="B70" s="350"/>
      <c r="C70" s="120"/>
      <c r="D70" s="349"/>
      <c r="E70" s="349"/>
      <c r="F70" s="349"/>
      <c r="G70" s="351"/>
      <c r="H70" s="223"/>
      <c r="K70" s="40"/>
      <c r="L70" s="40"/>
      <c r="M70" s="181"/>
      <c r="N70" s="181"/>
      <c r="O70" s="181"/>
      <c r="P70" s="15"/>
      <c r="Q70" s="342"/>
    </row>
    <row r="71" spans="1:17">
      <c r="A71" s="211"/>
      <c r="B71" s="118"/>
      <c r="C71" s="118"/>
      <c r="D71" s="119"/>
      <c r="E71" s="344"/>
      <c r="F71" s="118"/>
      <c r="G71" s="344"/>
      <c r="H71" s="119"/>
      <c r="K71" s="118"/>
      <c r="L71" s="118"/>
      <c r="M71" s="181"/>
      <c r="N71" s="181"/>
      <c r="O71" s="181"/>
      <c r="P71" s="15"/>
      <c r="Q71" s="181"/>
    </row>
    <row r="72" spans="1:17">
      <c r="A72" s="211"/>
      <c r="B72" s="117"/>
      <c r="C72" s="117"/>
      <c r="D72" s="223"/>
      <c r="E72" s="223"/>
      <c r="F72" s="223"/>
      <c r="G72" s="223"/>
      <c r="H72" s="223"/>
      <c r="K72" s="223"/>
      <c r="L72" s="223"/>
      <c r="M72" s="181"/>
      <c r="N72" s="181"/>
      <c r="O72" s="181"/>
      <c r="P72" s="181"/>
      <c r="Q72" s="181"/>
    </row>
    <row r="73" spans="1:17">
      <c r="A73" s="211"/>
      <c r="B73" s="117"/>
      <c r="C73" s="117"/>
      <c r="D73" s="80"/>
      <c r="E73" s="80"/>
      <c r="F73" s="80"/>
      <c r="G73" s="80"/>
      <c r="H73" s="80"/>
      <c r="K73" s="80"/>
      <c r="L73" s="80"/>
    </row>
    <row r="74" spans="1:17">
      <c r="A74" s="211"/>
      <c r="B74" s="117"/>
      <c r="C74" s="117"/>
      <c r="D74" s="80"/>
      <c r="E74" s="80"/>
      <c r="F74" s="80"/>
      <c r="G74" s="80"/>
      <c r="H74" s="80"/>
      <c r="K74" s="80"/>
      <c r="L74" s="80"/>
    </row>
    <row r="75" spans="1:17">
      <c r="A75" s="211"/>
      <c r="B75" s="117"/>
      <c r="C75" s="117"/>
      <c r="D75" s="80"/>
      <c r="E75" s="80"/>
      <c r="F75" s="80"/>
      <c r="G75" s="80"/>
      <c r="H75" s="80"/>
      <c r="K75" s="80"/>
      <c r="L75" s="80"/>
    </row>
    <row r="89" ht="24" customHeight="1"/>
  </sheetData>
  <customSheetViews>
    <customSheetView guid="{F04A2B9A-C6FE-4FEB-AD1E-2CF9AC309BE4}" scale="60" showPageBreaks="1" view="pageBreakPreview">
      <selection activeCell="G20" sqref="G20"/>
      <pageMargins left="0.7" right="0.7" top="0.75" bottom="0.75" header="0.3" footer="0.3"/>
      <pageSetup scale="79" orientation="landscape" r:id="rId1"/>
    </customSheetView>
  </customSheetViews>
  <mergeCells count="4">
    <mergeCell ref="D33:E33"/>
    <mergeCell ref="D34:E34"/>
    <mergeCell ref="F34:G34"/>
    <mergeCell ref="I34:L34"/>
  </mergeCells>
  <phoneticPr fontId="0" type="noConversion"/>
  <pageMargins left="0.25" right="0.25" top="0.75" bottom="0.75" header="0.3" footer="0.3"/>
  <pageSetup scale="4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topLeftCell="A4" zoomScaleNormal="100" zoomScaleSheetLayoutView="75" workbookViewId="0">
      <selection activeCell="D19" sqref="D19"/>
    </sheetView>
  </sheetViews>
  <sheetFormatPr defaultColWidth="8.88671875" defaultRowHeight="15"/>
  <cols>
    <col min="1" max="1" width="8.88671875" style="631"/>
    <col min="2" max="2" width="43.77734375" style="631" customWidth="1"/>
    <col min="3" max="3" width="15.5546875" style="631" customWidth="1"/>
    <col min="4" max="4" width="16.33203125" style="631" customWidth="1"/>
    <col min="5" max="5" width="13.5546875" style="631" customWidth="1"/>
    <col min="6" max="6" width="14.44140625" style="631" customWidth="1"/>
    <col min="7" max="16384" width="8.88671875" style="631"/>
  </cols>
  <sheetData>
    <row r="1" spans="1:13">
      <c r="A1" s="645"/>
      <c r="C1" s="640" t="s">
        <v>204</v>
      </c>
      <c r="F1" s="646" t="s">
        <v>460</v>
      </c>
    </row>
    <row r="2" spans="1:13">
      <c r="C2" s="647" t="s">
        <v>301</v>
      </c>
    </row>
    <row r="3" spans="1:13">
      <c r="A3" s="654"/>
      <c r="C3" s="640" t="str">
        <f>+'Attachment H-7'!D5</f>
        <v>PECO Energy Company</v>
      </c>
    </row>
    <row r="4" spans="1:13">
      <c r="A4" s="654"/>
      <c r="C4" s="648"/>
    </row>
    <row r="5" spans="1:13">
      <c r="A5" s="654"/>
      <c r="C5" s="648"/>
    </row>
    <row r="6" spans="1:13">
      <c r="A6" s="651"/>
      <c r="B6" s="649" t="s">
        <v>298</v>
      </c>
      <c r="C6" s="650"/>
      <c r="D6" s="651"/>
    </row>
    <row r="7" spans="1:13">
      <c r="A7" s="651"/>
      <c r="B7" s="652" t="s">
        <v>209</v>
      </c>
      <c r="C7" s="650"/>
      <c r="D7" s="652" t="s">
        <v>210</v>
      </c>
      <c r="E7" s="652" t="s">
        <v>211</v>
      </c>
      <c r="F7" s="844" t="s">
        <v>212</v>
      </c>
    </row>
    <row r="8" spans="1:13">
      <c r="A8" s="651"/>
      <c r="B8" s="653"/>
      <c r="C8" s="653"/>
      <c r="D8" s="656" t="s">
        <v>852</v>
      </c>
      <c r="F8" s="657" t="s">
        <v>747</v>
      </c>
    </row>
    <row r="9" spans="1:13" ht="36" customHeight="1">
      <c r="A9" s="654"/>
      <c r="B9" s="654"/>
      <c r="C9" s="655"/>
      <c r="E9" s="832" t="s">
        <v>967</v>
      </c>
      <c r="F9" s="675" t="s">
        <v>954</v>
      </c>
    </row>
    <row r="10" spans="1:13">
      <c r="A10" s="651">
        <v>1</v>
      </c>
      <c r="B10" s="658" t="s">
        <v>717</v>
      </c>
      <c r="C10" s="658"/>
      <c r="D10" s="829">
        <v>1066173</v>
      </c>
      <c r="E10" s="829">
        <v>679716.20693636674</v>
      </c>
      <c r="F10" s="635">
        <f>+E10*D19</f>
        <v>536123.14564928703</v>
      </c>
      <c r="G10" s="843"/>
    </row>
    <row r="11" spans="1:13">
      <c r="A11" s="651">
        <v>2</v>
      </c>
      <c r="B11" s="658" t="s">
        <v>718</v>
      </c>
      <c r="C11" s="658"/>
      <c r="D11" s="802"/>
      <c r="E11" s="834">
        <v>-51221.05185153085</v>
      </c>
      <c r="F11" s="802">
        <f>+E11*D19</f>
        <v>-40400.377630952622</v>
      </c>
    </row>
    <row r="12" spans="1:13">
      <c r="A12" s="651">
        <v>3</v>
      </c>
      <c r="B12" s="658" t="s">
        <v>719</v>
      </c>
      <c r="C12" s="658" t="s">
        <v>720</v>
      </c>
      <c r="D12" s="659"/>
      <c r="F12" s="659">
        <f>+F10-F11</f>
        <v>576523.52328023966</v>
      </c>
    </row>
    <row r="14" spans="1:13">
      <c r="A14" s="660" t="s">
        <v>61</v>
      </c>
      <c r="B14" s="660"/>
      <c r="C14" s="660"/>
      <c r="D14" s="660"/>
      <c r="E14" s="660"/>
      <c r="F14" s="660"/>
      <c r="G14" s="660"/>
      <c r="H14" s="660"/>
      <c r="I14" s="660"/>
      <c r="J14" s="660"/>
      <c r="K14" s="660"/>
      <c r="L14" s="660"/>
      <c r="M14" s="660"/>
    </row>
    <row r="15" spans="1:13" ht="15.75" thickBot="1">
      <c r="A15" s="661" t="s">
        <v>62</v>
      </c>
      <c r="B15" s="660"/>
      <c r="C15" s="660"/>
      <c r="D15" s="660"/>
      <c r="E15" s="660"/>
      <c r="F15" s="660"/>
      <c r="G15" s="660"/>
      <c r="H15" s="660"/>
      <c r="I15" s="660"/>
      <c r="J15" s="660"/>
      <c r="K15" s="660"/>
      <c r="L15" s="660"/>
      <c r="M15" s="660"/>
    </row>
    <row r="16" spans="1:13">
      <c r="A16" s="662" t="s">
        <v>63</v>
      </c>
      <c r="B16" s="857" t="s">
        <v>968</v>
      </c>
      <c r="C16" s="831"/>
      <c r="D16" s="831"/>
      <c r="E16" s="831"/>
      <c r="F16" s="831"/>
      <c r="G16" s="663"/>
      <c r="H16" s="663"/>
      <c r="I16" s="663"/>
      <c r="J16" s="663"/>
      <c r="K16" s="663"/>
      <c r="L16" s="663"/>
      <c r="M16" s="663"/>
    </row>
    <row r="17" spans="1:13" s="827" customFormat="1">
      <c r="A17" s="830"/>
      <c r="B17" s="857" t="s">
        <v>971</v>
      </c>
      <c r="C17" s="831"/>
      <c r="D17" s="831"/>
      <c r="E17" s="831"/>
      <c r="F17" s="831"/>
      <c r="G17" s="831"/>
      <c r="H17" s="831"/>
      <c r="I17" s="831"/>
      <c r="J17" s="831"/>
      <c r="K17" s="831"/>
      <c r="L17" s="831"/>
      <c r="M17" s="831"/>
    </row>
    <row r="18" spans="1:13">
      <c r="A18" s="664"/>
      <c r="C18" s="640" t="s">
        <v>47</v>
      </c>
      <c r="D18" s="631" t="s">
        <v>56</v>
      </c>
      <c r="E18" s="640"/>
    </row>
    <row r="19" spans="1:13">
      <c r="A19" s="844" t="s">
        <v>64</v>
      </c>
      <c r="B19" s="839" t="s">
        <v>969</v>
      </c>
      <c r="C19" s="841">
        <v>156974007</v>
      </c>
      <c r="D19" s="843">
        <f>C19/C21</f>
        <v>0.78874556789768802</v>
      </c>
      <c r="E19" s="809"/>
    </row>
    <row r="20" spans="1:13">
      <c r="A20" s="839"/>
      <c r="B20" s="839" t="s">
        <v>970</v>
      </c>
      <c r="C20" s="845">
        <v>42043285</v>
      </c>
      <c r="D20" s="843">
        <f>C20/C21</f>
        <v>0.21125443210231198</v>
      </c>
      <c r="E20" s="809"/>
    </row>
    <row r="21" spans="1:13">
      <c r="A21" s="839"/>
      <c r="B21" s="839" t="s">
        <v>13</v>
      </c>
      <c r="C21" s="840">
        <f>+C19+C20</f>
        <v>199017292</v>
      </c>
      <c r="D21" s="842"/>
    </row>
    <row r="23" spans="1:13">
      <c r="A23" s="848" t="s">
        <v>65</v>
      </c>
      <c r="B23" s="846" t="s">
        <v>972</v>
      </c>
    </row>
    <row r="24" spans="1:13">
      <c r="A24" s="839"/>
      <c r="B24" s="839" t="s">
        <v>973</v>
      </c>
    </row>
    <row r="65" ht="24" customHeight="1"/>
  </sheetData>
  <phoneticPr fontId="0" type="noConversion"/>
  <pageMargins left="0.7" right="0.7" top="0.75" bottom="0.75" header="0.3" footer="0.3"/>
  <pageSetup scale="9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view="pageBreakPreview" topLeftCell="A46" zoomScale="70" zoomScaleNormal="70" zoomScaleSheetLayoutView="70" workbookViewId="0">
      <selection activeCell="H63" sqref="H63"/>
    </sheetView>
  </sheetViews>
  <sheetFormatPr defaultColWidth="8.77734375" defaultRowHeight="15"/>
  <cols>
    <col min="1" max="1" width="6.77734375" style="859" customWidth="1"/>
    <col min="2" max="2" width="56.6640625" style="859" customWidth="1"/>
    <col min="3" max="3" width="8.109375" style="859" customWidth="1"/>
    <col min="4" max="4" width="8.77734375" style="859"/>
    <col min="5" max="5" width="16.33203125" style="859" customWidth="1"/>
    <col min="6" max="6" width="15.77734375" style="859" customWidth="1"/>
    <col min="7" max="7" width="17.109375" style="859" bestFit="1" customWidth="1"/>
    <col min="8" max="8" width="17" style="938" customWidth="1"/>
    <col min="9" max="10" width="14.6640625" style="938" customWidth="1"/>
    <col min="11" max="11" width="18.88671875" style="938" customWidth="1"/>
    <col min="12" max="14" width="8.77734375" style="859"/>
    <col min="15" max="15" width="9.44140625" style="859" customWidth="1"/>
    <col min="16" max="16" width="9.109375" style="859" customWidth="1"/>
    <col min="17" max="16384" width="8.77734375" style="859"/>
  </cols>
  <sheetData>
    <row r="1" spans="1:12" ht="15.75">
      <c r="K1" s="872" t="s">
        <v>465</v>
      </c>
    </row>
    <row r="2" spans="1:12" ht="15.75">
      <c r="A2" s="1014" t="s">
        <v>721</v>
      </c>
      <c r="B2" s="1014"/>
      <c r="C2" s="1014"/>
      <c r="D2" s="1014"/>
      <c r="E2" s="1014"/>
      <c r="F2" s="1014"/>
      <c r="G2" s="1014"/>
      <c r="H2" s="1014"/>
      <c r="I2" s="1014"/>
      <c r="J2" s="1014"/>
      <c r="K2" s="1014"/>
      <c r="L2" s="869"/>
    </row>
    <row r="3" spans="1:12" ht="15.75">
      <c r="A3" s="1014" t="s">
        <v>1046</v>
      </c>
      <c r="B3" s="1014"/>
      <c r="C3" s="1014"/>
      <c r="D3" s="1014"/>
      <c r="E3" s="1014"/>
      <c r="F3" s="1014"/>
      <c r="G3" s="1014"/>
      <c r="H3" s="1014"/>
      <c r="I3" s="1014"/>
      <c r="J3" s="1014"/>
      <c r="K3" s="1014"/>
      <c r="L3" s="869"/>
    </row>
    <row r="4" spans="1:12" ht="15.75">
      <c r="A4" s="869"/>
      <c r="B4" s="869"/>
      <c r="C4" s="869"/>
      <c r="D4" s="869"/>
      <c r="E4" s="869"/>
      <c r="F4" s="869"/>
      <c r="G4" s="869"/>
      <c r="H4" s="871"/>
      <c r="I4" s="871"/>
      <c r="J4" s="871"/>
      <c r="K4" s="859"/>
      <c r="L4" s="869"/>
    </row>
    <row r="5" spans="1:12" ht="15.75">
      <c r="A5" s="869"/>
      <c r="B5" s="869"/>
      <c r="C5" s="869"/>
      <c r="D5" s="869"/>
      <c r="E5" s="869"/>
      <c r="F5" s="869"/>
      <c r="G5" s="869"/>
      <c r="H5" s="871"/>
      <c r="I5" s="871"/>
      <c r="J5" s="871"/>
      <c r="K5" s="871"/>
      <c r="L5" s="869"/>
    </row>
    <row r="6" spans="1:12" ht="15.75">
      <c r="A6" s="869"/>
      <c r="B6" s="869"/>
      <c r="C6" s="869"/>
      <c r="D6" s="869"/>
      <c r="E6" s="869"/>
      <c r="F6" s="873"/>
      <c r="G6" s="869"/>
      <c r="H6" s="871"/>
      <c r="I6" s="871"/>
      <c r="J6" s="871"/>
      <c r="K6" s="874"/>
      <c r="L6" s="869"/>
    </row>
    <row r="7" spans="1:12" ht="15.75">
      <c r="A7" s="875" t="s">
        <v>975</v>
      </c>
      <c r="B7" s="875" t="s">
        <v>976</v>
      </c>
      <c r="C7" s="875" t="s">
        <v>977</v>
      </c>
      <c r="D7" s="875" t="s">
        <v>978</v>
      </c>
      <c r="E7" s="874" t="s">
        <v>979</v>
      </c>
      <c r="F7" s="876" t="s">
        <v>980</v>
      </c>
      <c r="G7" s="877" t="s">
        <v>981</v>
      </c>
      <c r="H7" s="874" t="s">
        <v>982</v>
      </c>
      <c r="I7" s="874" t="s">
        <v>983</v>
      </c>
      <c r="J7" s="874" t="s">
        <v>984</v>
      </c>
      <c r="K7" s="871"/>
      <c r="L7" s="869"/>
    </row>
    <row r="8" spans="1:12" ht="15.75">
      <c r="A8" s="869"/>
      <c r="B8" s="870"/>
      <c r="C8" s="875"/>
      <c r="D8" s="875"/>
      <c r="E8" s="876"/>
      <c r="F8" s="877"/>
      <c r="G8" s="874" t="s">
        <v>985</v>
      </c>
      <c r="H8" s="874" t="s">
        <v>986</v>
      </c>
      <c r="I8" s="874" t="s">
        <v>1048</v>
      </c>
      <c r="J8" s="874" t="s">
        <v>987</v>
      </c>
      <c r="K8" s="871"/>
      <c r="L8" s="869"/>
    </row>
    <row r="9" spans="1:12" ht="15.75">
      <c r="A9" s="869"/>
      <c r="B9" s="870"/>
      <c r="C9" s="875" t="s">
        <v>988</v>
      </c>
      <c r="D9" s="875" t="s">
        <v>989</v>
      </c>
      <c r="E9" s="876" t="s">
        <v>990</v>
      </c>
      <c r="F9" s="877" t="s">
        <v>991</v>
      </c>
      <c r="G9" s="874" t="s">
        <v>507</v>
      </c>
      <c r="H9" s="874" t="s">
        <v>987</v>
      </c>
      <c r="I9" s="874" t="s">
        <v>507</v>
      </c>
      <c r="J9" s="874" t="s">
        <v>992</v>
      </c>
      <c r="K9" s="871"/>
      <c r="L9" s="869"/>
    </row>
    <row r="10" spans="1:12" ht="15.75">
      <c r="A10" s="878" t="s">
        <v>993</v>
      </c>
      <c r="B10" s="878" t="s">
        <v>994</v>
      </c>
      <c r="C10" s="878" t="s">
        <v>995</v>
      </c>
      <c r="D10" s="878" t="s">
        <v>996</v>
      </c>
      <c r="E10" s="879" t="s">
        <v>997</v>
      </c>
      <c r="F10" s="880" t="s">
        <v>998</v>
      </c>
      <c r="G10" s="881" t="s">
        <v>47</v>
      </c>
      <c r="H10" s="881" t="s">
        <v>47</v>
      </c>
      <c r="I10" s="881" t="s">
        <v>47</v>
      </c>
      <c r="J10" s="881" t="s">
        <v>47</v>
      </c>
      <c r="K10" s="871"/>
      <c r="L10" s="869"/>
    </row>
    <row r="11" spans="1:12" ht="15.75">
      <c r="A11" s="875"/>
      <c r="B11" s="882"/>
      <c r="C11" s="883" t="s">
        <v>1153</v>
      </c>
      <c r="D11" s="883" t="s">
        <v>1153</v>
      </c>
      <c r="E11" s="884" t="s">
        <v>1049</v>
      </c>
      <c r="F11" s="885" t="s">
        <v>1050</v>
      </c>
      <c r="G11" s="884" t="s">
        <v>1151</v>
      </c>
      <c r="H11" s="884" t="s">
        <v>1151</v>
      </c>
      <c r="I11" s="886" t="s">
        <v>1051</v>
      </c>
      <c r="J11" s="884" t="s">
        <v>1152</v>
      </c>
      <c r="K11" s="871"/>
      <c r="L11" s="869"/>
    </row>
    <row r="12" spans="1:12" ht="16.5" thickBot="1">
      <c r="A12" s="875"/>
      <c r="B12" s="887"/>
      <c r="C12" s="888"/>
      <c r="D12" s="888"/>
      <c r="E12" s="889"/>
      <c r="F12" s="890"/>
      <c r="G12" s="891"/>
      <c r="H12" s="891"/>
      <c r="I12" s="891"/>
      <c r="J12" s="891"/>
      <c r="K12" s="871"/>
      <c r="L12" s="869"/>
    </row>
    <row r="13" spans="1:12" ht="16.5" thickBot="1">
      <c r="A13" s="892"/>
      <c r="B13" s="869"/>
      <c r="C13" s="893"/>
      <c r="D13" s="894"/>
      <c r="E13" s="895"/>
      <c r="F13" s="896"/>
      <c r="G13" s="1017" t="s">
        <v>1168</v>
      </c>
      <c r="H13" s="1018"/>
      <c r="I13" s="1019"/>
      <c r="J13" s="897" t="s">
        <v>1169</v>
      </c>
      <c r="K13" s="871"/>
      <c r="L13" s="869"/>
    </row>
    <row r="14" spans="1:12" ht="15.75">
      <c r="A14" s="892"/>
      <c r="B14" s="898" t="s">
        <v>876</v>
      </c>
      <c r="C14" s="893"/>
      <c r="D14" s="894"/>
      <c r="E14" s="895"/>
      <c r="F14" s="899"/>
      <c r="G14" s="900"/>
      <c r="H14" s="900"/>
      <c r="I14" s="901"/>
      <c r="J14" s="902"/>
      <c r="K14" s="871"/>
      <c r="L14" s="869"/>
    </row>
    <row r="15" spans="1:12" ht="15.75">
      <c r="A15" s="892">
        <v>352</v>
      </c>
      <c r="B15" s="903" t="s">
        <v>999</v>
      </c>
      <c r="C15" s="893">
        <v>50</v>
      </c>
      <c r="D15" s="894" t="s">
        <v>1000</v>
      </c>
      <c r="E15" s="904">
        <v>36.74</v>
      </c>
      <c r="F15" s="905">
        <f>J15/I15</f>
        <v>2.4825696867608524E-2</v>
      </c>
      <c r="G15" s="906">
        <v>72934896.459999993</v>
      </c>
      <c r="H15" s="906">
        <v>20227180.459999997</v>
      </c>
      <c r="I15" s="907">
        <f t="shared" ref="I15:I22" si="0">G15-H15</f>
        <v>52707716</v>
      </c>
      <c r="J15" s="908">
        <v>1308505.7799999998</v>
      </c>
      <c r="K15" s="871"/>
      <c r="L15" s="869"/>
    </row>
    <row r="16" spans="1:12" ht="15.75">
      <c r="A16" s="892">
        <v>353</v>
      </c>
      <c r="B16" s="903" t="s">
        <v>1001</v>
      </c>
      <c r="C16" s="893">
        <v>57</v>
      </c>
      <c r="D16" s="894" t="s">
        <v>1000</v>
      </c>
      <c r="E16" s="904">
        <v>42.46</v>
      </c>
      <c r="F16" s="905">
        <f t="shared" ref="F16:F22" si="1">J16/I16</f>
        <v>2.2190974897213517E-2</v>
      </c>
      <c r="G16" s="906">
        <v>816231943.48000002</v>
      </c>
      <c r="H16" s="906">
        <v>194632452.07000002</v>
      </c>
      <c r="I16" s="907">
        <f t="shared" si="0"/>
        <v>621599491.40999997</v>
      </c>
      <c r="J16" s="908">
        <v>13793898.709999999</v>
      </c>
      <c r="K16" s="871"/>
      <c r="L16" s="869"/>
    </row>
    <row r="17" spans="1:16" ht="15.75">
      <c r="A17" s="892">
        <v>354</v>
      </c>
      <c r="B17" s="903" t="s">
        <v>1002</v>
      </c>
      <c r="C17" s="893">
        <v>65</v>
      </c>
      <c r="D17" s="894" t="s">
        <v>1003</v>
      </c>
      <c r="E17" s="904">
        <v>31.91</v>
      </c>
      <c r="F17" s="905">
        <f t="shared" si="1"/>
        <v>3.1689013834841261E-2</v>
      </c>
      <c r="G17" s="906">
        <v>266736647.78</v>
      </c>
      <c r="H17" s="906">
        <v>155676350.08999997</v>
      </c>
      <c r="I17" s="907">
        <f t="shared" si="0"/>
        <v>111060297.69000003</v>
      </c>
      <c r="J17" s="908">
        <v>3519391.31</v>
      </c>
      <c r="K17" s="871"/>
      <c r="L17" s="869"/>
    </row>
    <row r="18" spans="1:16" ht="15.75">
      <c r="A18" s="892">
        <v>355</v>
      </c>
      <c r="B18" s="903" t="s">
        <v>1004</v>
      </c>
      <c r="C18" s="893">
        <v>65</v>
      </c>
      <c r="D18" s="894" t="s">
        <v>1003</v>
      </c>
      <c r="E18" s="904">
        <v>54.82</v>
      </c>
      <c r="F18" s="905">
        <f t="shared" si="1"/>
        <v>1.8533437340775376E-2</v>
      </c>
      <c r="G18" s="906">
        <v>16532820.41</v>
      </c>
      <c r="H18" s="906">
        <v>2840646.35</v>
      </c>
      <c r="I18" s="907">
        <f t="shared" si="0"/>
        <v>13692174.060000001</v>
      </c>
      <c r="J18" s="908">
        <v>253763.05</v>
      </c>
      <c r="K18" s="871"/>
      <c r="L18" s="869"/>
    </row>
    <row r="19" spans="1:16" ht="15.75">
      <c r="A19" s="892">
        <v>356</v>
      </c>
      <c r="B19" s="903" t="s">
        <v>1005</v>
      </c>
      <c r="C19" s="893">
        <v>60</v>
      </c>
      <c r="D19" s="894" t="s">
        <v>1003</v>
      </c>
      <c r="E19" s="904">
        <v>35.479999999999997</v>
      </c>
      <c r="F19" s="905">
        <f t="shared" si="1"/>
        <v>2.7049188506055987E-2</v>
      </c>
      <c r="G19" s="906">
        <v>193124985.75</v>
      </c>
      <c r="H19" s="906">
        <v>81056580.100000009</v>
      </c>
      <c r="I19" s="907">
        <f t="shared" si="0"/>
        <v>112068405.64999999</v>
      </c>
      <c r="J19" s="908">
        <v>3031359.4299999997</v>
      </c>
      <c r="K19" s="871"/>
      <c r="L19" s="869"/>
    </row>
    <row r="20" spans="1:16" ht="15.75">
      <c r="A20" s="892">
        <v>357</v>
      </c>
      <c r="B20" s="903" t="s">
        <v>1006</v>
      </c>
      <c r="C20" s="893">
        <v>65</v>
      </c>
      <c r="D20" s="894" t="s">
        <v>1003</v>
      </c>
      <c r="E20" s="904">
        <v>46.3</v>
      </c>
      <c r="F20" s="905">
        <f t="shared" si="1"/>
        <v>2.1759414276624745E-2</v>
      </c>
      <c r="G20" s="906">
        <v>14955806.5</v>
      </c>
      <c r="H20" s="906">
        <v>4760413.5</v>
      </c>
      <c r="I20" s="907">
        <f t="shared" si="0"/>
        <v>10195393</v>
      </c>
      <c r="J20" s="908">
        <v>221845.78</v>
      </c>
      <c r="K20" s="871"/>
      <c r="L20" s="869"/>
    </row>
    <row r="21" spans="1:16" ht="15.75">
      <c r="A21" s="892">
        <v>358</v>
      </c>
      <c r="B21" s="903" t="s">
        <v>1007</v>
      </c>
      <c r="C21" s="893">
        <v>60</v>
      </c>
      <c r="D21" s="894" t="s">
        <v>1008</v>
      </c>
      <c r="E21" s="904">
        <v>36.4</v>
      </c>
      <c r="F21" s="905">
        <f t="shared" si="1"/>
        <v>2.6187723504798366E-2</v>
      </c>
      <c r="G21" s="909">
        <v>104555952.06</v>
      </c>
      <c r="H21" s="909">
        <v>42510961.409999996</v>
      </c>
      <c r="I21" s="910">
        <f t="shared" si="0"/>
        <v>62044990.650000006</v>
      </c>
      <c r="J21" s="911">
        <v>1624817.06</v>
      </c>
      <c r="K21" s="871"/>
      <c r="L21" s="869"/>
    </row>
    <row r="22" spans="1:16" ht="15.75">
      <c r="A22" s="892">
        <v>359</v>
      </c>
      <c r="B22" s="903" t="s">
        <v>1009</v>
      </c>
      <c r="C22" s="893">
        <v>50</v>
      </c>
      <c r="D22" s="894" t="s">
        <v>1003</v>
      </c>
      <c r="E22" s="904">
        <v>11.32</v>
      </c>
      <c r="F22" s="905">
        <f t="shared" si="1"/>
        <v>9.2714451333677728E-2</v>
      </c>
      <c r="G22" s="909">
        <v>2136664.4500000002</v>
      </c>
      <c r="H22" s="909">
        <v>2048415.64</v>
      </c>
      <c r="I22" s="910">
        <f t="shared" si="0"/>
        <v>88248.810000000289</v>
      </c>
      <c r="J22" s="911">
        <v>8181.94</v>
      </c>
      <c r="K22" s="871"/>
      <c r="L22" s="869"/>
    </row>
    <row r="23" spans="1:16" ht="16.5" thickBot="1">
      <c r="A23" s="892"/>
      <c r="B23" s="903"/>
      <c r="C23" s="893"/>
      <c r="D23" s="893"/>
      <c r="E23" s="893"/>
      <c r="F23" s="905"/>
      <c r="G23" s="912">
        <f>SUM(G15:G22)</f>
        <v>1487209716.8900001</v>
      </c>
      <c r="H23" s="912">
        <f>SUM(H15:H22)</f>
        <v>503752999.62</v>
      </c>
      <c r="I23" s="912">
        <f>SUM(I15:I22)</f>
        <v>983456717.26999986</v>
      </c>
      <c r="J23" s="912">
        <f>SUM(J15:J22)</f>
        <v>23761763.059999999</v>
      </c>
      <c r="K23" s="871"/>
      <c r="L23" s="913"/>
    </row>
    <row r="24" spans="1:16" ht="16.5" thickTop="1">
      <c r="A24" s="892"/>
      <c r="B24" s="903"/>
      <c r="C24" s="893"/>
      <c r="D24" s="893"/>
      <c r="E24" s="893"/>
      <c r="F24" s="905"/>
      <c r="G24" s="910"/>
      <c r="H24" s="910"/>
      <c r="I24" s="910"/>
      <c r="J24" s="914"/>
      <c r="K24" s="871"/>
      <c r="L24" s="869"/>
    </row>
    <row r="25" spans="1:16" ht="15.75">
      <c r="A25" s="892"/>
      <c r="B25" s="898" t="s">
        <v>947</v>
      </c>
      <c r="C25" s="869"/>
      <c r="D25" s="869"/>
      <c r="E25" s="915"/>
      <c r="F25" s="899"/>
      <c r="G25" s="871"/>
      <c r="H25" s="871"/>
      <c r="I25" s="901"/>
      <c r="J25" s="902"/>
      <c r="K25" s="871"/>
      <c r="L25" s="869"/>
    </row>
    <row r="26" spans="1:16" ht="15" customHeight="1">
      <c r="A26" s="892">
        <v>390</v>
      </c>
      <c r="B26" s="903" t="s">
        <v>999</v>
      </c>
      <c r="C26" s="893">
        <v>40</v>
      </c>
      <c r="D26" s="894" t="s">
        <v>1010</v>
      </c>
      <c r="E26" s="904">
        <v>27.43</v>
      </c>
      <c r="F26" s="916">
        <f t="shared" ref="F26:F68" si="2">J26/I26</f>
        <v>3.6191622956322472E-2</v>
      </c>
      <c r="G26" s="917">
        <v>49660750.399999999</v>
      </c>
      <c r="H26" s="917">
        <v>11502854.810000002</v>
      </c>
      <c r="I26" s="918">
        <f t="shared" ref="I26:I37" si="3">G26-H26</f>
        <v>38157895.589999996</v>
      </c>
      <c r="J26" s="917">
        <v>1380996.17</v>
      </c>
      <c r="K26" s="871"/>
      <c r="L26" s="869"/>
    </row>
    <row r="27" spans="1:16" ht="15" customHeight="1">
      <c r="A27" s="892">
        <v>391.1</v>
      </c>
      <c r="B27" s="903" t="s">
        <v>1011</v>
      </c>
      <c r="C27" s="893">
        <v>10</v>
      </c>
      <c r="D27" s="894" t="s">
        <v>1012</v>
      </c>
      <c r="E27" s="904">
        <v>3.26</v>
      </c>
      <c r="F27" s="916">
        <f t="shared" si="2"/>
        <v>0.3644626580082384</v>
      </c>
      <c r="G27" s="917">
        <v>142278.21</v>
      </c>
      <c r="H27" s="917">
        <v>100604.75</v>
      </c>
      <c r="I27" s="918">
        <f t="shared" si="3"/>
        <v>41673.459999999992</v>
      </c>
      <c r="J27" s="917">
        <v>15188.42</v>
      </c>
      <c r="K27" s="871"/>
      <c r="L27" s="869"/>
    </row>
    <row r="28" spans="1:16" ht="15" customHeight="1">
      <c r="A28" s="892">
        <v>391.2</v>
      </c>
      <c r="B28" s="903" t="s">
        <v>1013</v>
      </c>
      <c r="C28" s="893">
        <v>15</v>
      </c>
      <c r="D28" s="894" t="s">
        <v>1012</v>
      </c>
      <c r="E28" s="904">
        <v>8.3800000000000008</v>
      </c>
      <c r="F28" s="916">
        <f t="shared" si="2"/>
        <v>0.12743538220804468</v>
      </c>
      <c r="G28" s="917">
        <v>802172.28</v>
      </c>
      <c r="H28" s="917">
        <v>370070.7</v>
      </c>
      <c r="I28" s="918">
        <f t="shared" si="3"/>
        <v>432101.58</v>
      </c>
      <c r="J28" s="917">
        <v>55065.03</v>
      </c>
      <c r="K28" s="871"/>
      <c r="L28" s="869"/>
      <c r="N28" s="861"/>
      <c r="O28" s="862"/>
      <c r="P28" s="860"/>
    </row>
    <row r="29" spans="1:16" ht="15" customHeight="1">
      <c r="A29" s="892">
        <v>391.3</v>
      </c>
      <c r="B29" s="903" t="s">
        <v>1014</v>
      </c>
      <c r="C29" s="893">
        <v>5</v>
      </c>
      <c r="D29" s="894" t="s">
        <v>1012</v>
      </c>
      <c r="E29" s="904">
        <v>2.89</v>
      </c>
      <c r="F29" s="916">
        <f t="shared" si="2"/>
        <v>0.25771915714709831</v>
      </c>
      <c r="G29" s="917">
        <v>12019818.140000001</v>
      </c>
      <c r="H29" s="917">
        <v>3384020.38</v>
      </c>
      <c r="I29" s="918">
        <f t="shared" si="3"/>
        <v>8635797.7600000016</v>
      </c>
      <c r="J29" s="917">
        <v>2225610.52</v>
      </c>
      <c r="K29" s="871"/>
      <c r="L29" s="869"/>
      <c r="N29" s="861"/>
      <c r="O29" s="862"/>
    </row>
    <row r="30" spans="1:16" ht="15" customHeight="1">
      <c r="A30" s="892">
        <v>391.4</v>
      </c>
      <c r="B30" s="903" t="s">
        <v>1015</v>
      </c>
      <c r="C30" s="893">
        <v>5</v>
      </c>
      <c r="D30" s="894" t="s">
        <v>1012</v>
      </c>
      <c r="E30" s="904">
        <v>2.89</v>
      </c>
      <c r="F30" s="916">
        <f t="shared" si="2"/>
        <v>0.42015052245448481</v>
      </c>
      <c r="G30" s="917">
        <v>2915108.62</v>
      </c>
      <c r="H30" s="917">
        <v>1647786.74</v>
      </c>
      <c r="I30" s="918">
        <f t="shared" si="3"/>
        <v>1267321.8800000001</v>
      </c>
      <c r="J30" s="917">
        <v>532465.94999999995</v>
      </c>
      <c r="K30" s="871"/>
      <c r="L30" s="869"/>
      <c r="N30" s="861"/>
      <c r="O30" s="862"/>
    </row>
    <row r="31" spans="1:16" ht="15" customHeight="1">
      <c r="A31" s="892">
        <v>393</v>
      </c>
      <c r="B31" s="903" t="s">
        <v>1016</v>
      </c>
      <c r="C31" s="893">
        <v>15</v>
      </c>
      <c r="D31" s="894" t="s">
        <v>1012</v>
      </c>
      <c r="E31" s="904">
        <v>11.32</v>
      </c>
      <c r="F31" s="916">
        <f t="shared" si="2"/>
        <v>9.2703183414966139E-2</v>
      </c>
      <c r="G31" s="917">
        <v>46470.11</v>
      </c>
      <c r="H31" s="917">
        <v>2947.98</v>
      </c>
      <c r="I31" s="918">
        <f t="shared" si="3"/>
        <v>43522.13</v>
      </c>
      <c r="J31" s="917">
        <v>4034.64</v>
      </c>
      <c r="K31" s="871"/>
      <c r="L31" s="869"/>
    </row>
    <row r="32" spans="1:16" ht="15" customHeight="1">
      <c r="A32" s="892">
        <v>394</v>
      </c>
      <c r="B32" s="903" t="s">
        <v>1017</v>
      </c>
      <c r="C32" s="893">
        <v>15</v>
      </c>
      <c r="D32" s="894" t="s">
        <v>1012</v>
      </c>
      <c r="E32" s="904">
        <v>9.99</v>
      </c>
      <c r="F32" s="916">
        <f t="shared" si="2"/>
        <v>9.7395824119766869E-2</v>
      </c>
      <c r="G32" s="917">
        <v>32073778.899999999</v>
      </c>
      <c r="H32" s="917">
        <v>8989047.3900000006</v>
      </c>
      <c r="I32" s="918">
        <f t="shared" si="3"/>
        <v>23084731.509999998</v>
      </c>
      <c r="J32" s="917">
        <v>2248356.4500000002</v>
      </c>
      <c r="K32" s="871"/>
      <c r="L32" s="869"/>
    </row>
    <row r="33" spans="1:12" ht="15" customHeight="1">
      <c r="A33" s="892">
        <v>395.1</v>
      </c>
      <c r="B33" s="903" t="s">
        <v>1018</v>
      </c>
      <c r="C33" s="893">
        <v>20</v>
      </c>
      <c r="D33" s="894" t="s">
        <v>1012</v>
      </c>
      <c r="E33" s="904">
        <v>8.58</v>
      </c>
      <c r="F33" s="916">
        <f t="shared" si="2"/>
        <v>0.12432530002068216</v>
      </c>
      <c r="G33" s="917">
        <v>318332.82</v>
      </c>
      <c r="H33" s="917">
        <v>208141.25</v>
      </c>
      <c r="I33" s="918">
        <f t="shared" si="3"/>
        <v>110191.57</v>
      </c>
      <c r="J33" s="917">
        <v>13699.6</v>
      </c>
      <c r="K33" s="871"/>
      <c r="L33" s="869"/>
    </row>
    <row r="34" spans="1:12" ht="15" customHeight="1">
      <c r="A34" s="892">
        <v>395.2</v>
      </c>
      <c r="B34" s="903" t="s">
        <v>1019</v>
      </c>
      <c r="C34" s="893">
        <v>15</v>
      </c>
      <c r="D34" s="894" t="s">
        <v>1012</v>
      </c>
      <c r="E34" s="904">
        <v>5.5</v>
      </c>
      <c r="F34" s="916">
        <f t="shared" si="2"/>
        <v>0.20106596381634506</v>
      </c>
      <c r="G34" s="917">
        <v>101381.74</v>
      </c>
      <c r="H34" s="917">
        <v>68699.58</v>
      </c>
      <c r="I34" s="918">
        <f t="shared" si="3"/>
        <v>32682.160000000003</v>
      </c>
      <c r="J34" s="917">
        <v>6571.27</v>
      </c>
      <c r="K34" s="871"/>
      <c r="L34" s="869"/>
    </row>
    <row r="35" spans="1:12" ht="15" customHeight="1">
      <c r="A35" s="892">
        <v>397</v>
      </c>
      <c r="B35" s="903" t="s">
        <v>1020</v>
      </c>
      <c r="C35" s="893">
        <v>20</v>
      </c>
      <c r="D35" s="894" t="s">
        <v>1021</v>
      </c>
      <c r="E35" s="904">
        <v>15.53</v>
      </c>
      <c r="F35" s="916">
        <f t="shared" si="2"/>
        <v>6.5866159222142479E-2</v>
      </c>
      <c r="G35" s="917">
        <v>115938777.47</v>
      </c>
      <c r="H35" s="917">
        <v>26582587.439999998</v>
      </c>
      <c r="I35" s="918">
        <f t="shared" si="3"/>
        <v>89356190.030000001</v>
      </c>
      <c r="J35" s="917">
        <v>5885549.04</v>
      </c>
      <c r="K35" s="871"/>
      <c r="L35" s="869"/>
    </row>
    <row r="36" spans="1:12" ht="15" customHeight="1">
      <c r="A36" s="892">
        <v>397.1</v>
      </c>
      <c r="B36" s="903" t="s">
        <v>1022</v>
      </c>
      <c r="C36" s="893">
        <v>15</v>
      </c>
      <c r="D36" s="894" t="s">
        <v>1023</v>
      </c>
      <c r="E36" s="904">
        <v>10.16</v>
      </c>
      <c r="F36" s="916">
        <f t="shared" si="2"/>
        <v>8.6307012906080463E-2</v>
      </c>
      <c r="G36" s="917">
        <v>38760270.009999998</v>
      </c>
      <c r="H36" s="917">
        <v>9958599.25</v>
      </c>
      <c r="I36" s="918">
        <f t="shared" si="3"/>
        <v>28801670.759999998</v>
      </c>
      <c r="J36" s="917">
        <v>2485786.17</v>
      </c>
      <c r="K36" s="871"/>
      <c r="L36" s="869"/>
    </row>
    <row r="37" spans="1:12" ht="15" customHeight="1">
      <c r="A37" s="892">
        <v>398</v>
      </c>
      <c r="B37" s="903" t="s">
        <v>1024</v>
      </c>
      <c r="C37" s="893">
        <v>15</v>
      </c>
      <c r="D37" s="894" t="s">
        <v>1012</v>
      </c>
      <c r="E37" s="904">
        <v>1.74</v>
      </c>
      <c r="F37" s="916">
        <f t="shared" si="2"/>
        <v>0.80302477386858251</v>
      </c>
      <c r="G37" s="917">
        <v>865598.43</v>
      </c>
      <c r="H37" s="917">
        <v>726117.59</v>
      </c>
      <c r="I37" s="918">
        <f t="shared" si="3"/>
        <v>139480.84000000008</v>
      </c>
      <c r="J37" s="917">
        <v>112006.57</v>
      </c>
      <c r="K37" s="871"/>
      <c r="L37" s="869"/>
    </row>
    <row r="38" spans="1:12" ht="15" customHeight="1" thickBot="1">
      <c r="A38" s="892"/>
      <c r="B38" s="903"/>
      <c r="C38" s="893"/>
      <c r="D38" s="893"/>
      <c r="E38" s="893"/>
      <c r="F38" s="919"/>
      <c r="G38" s="920">
        <f>SUM(G26:G37)</f>
        <v>253644737.13</v>
      </c>
      <c r="H38" s="920">
        <f>SUM(H26:H37)</f>
        <v>63541477.859999999</v>
      </c>
      <c r="I38" s="920">
        <f>SUM(I26:I37)</f>
        <v>190103259.26999998</v>
      </c>
      <c r="J38" s="920">
        <f>SUM(J26:J37)</f>
        <v>14965329.83</v>
      </c>
      <c r="K38" s="871"/>
      <c r="L38" s="913"/>
    </row>
    <row r="39" spans="1:12" ht="15" customHeight="1" thickTop="1">
      <c r="A39" s="870"/>
      <c r="B39" s="903"/>
      <c r="C39" s="921"/>
      <c r="D39" s="921"/>
      <c r="E39" s="921"/>
      <c r="F39" s="919"/>
      <c r="G39" s="918"/>
      <c r="H39" s="918"/>
      <c r="I39" s="918"/>
      <c r="J39" s="918"/>
      <c r="K39" s="871"/>
      <c r="L39" s="869"/>
    </row>
    <row r="40" spans="1:12" ht="15" customHeight="1">
      <c r="A40" s="870"/>
      <c r="B40" s="898" t="s">
        <v>1025</v>
      </c>
      <c r="C40" s="915"/>
      <c r="D40" s="915"/>
      <c r="E40" s="915"/>
      <c r="F40" s="899"/>
      <c r="G40" s="922"/>
      <c r="H40" s="922"/>
      <c r="I40" s="901"/>
      <c r="J40" s="902"/>
      <c r="K40" s="871"/>
      <c r="L40" s="869"/>
    </row>
    <row r="41" spans="1:12" ht="15" customHeight="1">
      <c r="A41" s="923">
        <v>303</v>
      </c>
      <c r="B41" s="924" t="s">
        <v>1026</v>
      </c>
      <c r="C41" s="893" t="s">
        <v>1027</v>
      </c>
      <c r="D41" s="893" t="s">
        <v>1027</v>
      </c>
      <c r="E41" s="925" t="s">
        <v>1027</v>
      </c>
      <c r="F41" s="926" t="s">
        <v>1052</v>
      </c>
      <c r="G41" s="917">
        <v>134622757.45999998</v>
      </c>
      <c r="H41" s="917">
        <v>89292866.589999989</v>
      </c>
      <c r="I41" s="918">
        <f>G41-H41</f>
        <v>45329890.86999999</v>
      </c>
      <c r="J41" s="917">
        <v>19876262.839999996</v>
      </c>
      <c r="K41" s="927"/>
      <c r="L41" s="869"/>
    </row>
    <row r="42" spans="1:12" ht="15" customHeight="1">
      <c r="A42" s="923">
        <v>303</v>
      </c>
      <c r="B42" s="924" t="s">
        <v>1028</v>
      </c>
      <c r="C42" s="893" t="s">
        <v>1027</v>
      </c>
      <c r="D42" s="893" t="s">
        <v>1027</v>
      </c>
      <c r="E42" s="925" t="s">
        <v>1027</v>
      </c>
      <c r="F42" s="926">
        <v>0</v>
      </c>
      <c r="G42" s="917">
        <v>16961662.57</v>
      </c>
      <c r="H42" s="917">
        <v>4531395.75</v>
      </c>
      <c r="I42" s="918">
        <f>G42-H42</f>
        <v>12430266.82</v>
      </c>
      <c r="J42" s="928" t="s">
        <v>749</v>
      </c>
      <c r="K42" s="871"/>
      <c r="L42" s="869"/>
    </row>
    <row r="43" spans="1:12" ht="15" customHeight="1" thickBot="1">
      <c r="A43" s="923"/>
      <c r="B43" s="924"/>
      <c r="C43" s="893"/>
      <c r="D43" s="893"/>
      <c r="E43" s="893"/>
      <c r="F43" s="926"/>
      <c r="G43" s="920">
        <f>SUM(G41:G42)</f>
        <v>151584420.02999997</v>
      </c>
      <c r="H43" s="920">
        <f>SUM(H41:H42)</f>
        <v>93824262.339999989</v>
      </c>
      <c r="I43" s="920">
        <f>SUM(I41:I42)</f>
        <v>57760157.68999999</v>
      </c>
      <c r="J43" s="920">
        <f>SUM(J41:J42)</f>
        <v>19876262.839999996</v>
      </c>
      <c r="K43" s="871"/>
      <c r="L43" s="913"/>
    </row>
    <row r="44" spans="1:12" ht="15" customHeight="1" thickTop="1">
      <c r="A44" s="923"/>
      <c r="B44" s="924"/>
      <c r="C44" s="893"/>
      <c r="D44" s="893"/>
      <c r="E44" s="893"/>
      <c r="F44" s="926"/>
      <c r="G44" s="953"/>
      <c r="H44" s="953"/>
      <c r="I44" s="953"/>
      <c r="J44" s="953"/>
      <c r="K44" s="872" t="s">
        <v>161</v>
      </c>
      <c r="L44" s="913"/>
    </row>
    <row r="45" spans="1:12" ht="15" customHeight="1">
      <c r="A45" s="1014" t="s">
        <v>721</v>
      </c>
      <c r="B45" s="1014"/>
      <c r="C45" s="1014"/>
      <c r="D45" s="1014"/>
      <c r="E45" s="1014"/>
      <c r="F45" s="1014"/>
      <c r="G45" s="1014"/>
      <c r="H45" s="1014"/>
      <c r="I45" s="1014"/>
      <c r="J45" s="1014"/>
      <c r="K45" s="1014"/>
      <c r="L45" s="913"/>
    </row>
    <row r="46" spans="1:12" ht="15" customHeight="1">
      <c r="A46" s="1014" t="s">
        <v>1046</v>
      </c>
      <c r="B46" s="1014"/>
      <c r="C46" s="1014"/>
      <c r="D46" s="1014"/>
      <c r="E46" s="1014"/>
      <c r="F46" s="1014"/>
      <c r="G46" s="1014"/>
      <c r="H46" s="1014"/>
      <c r="I46" s="1014"/>
      <c r="J46" s="1014"/>
      <c r="K46" s="1014"/>
      <c r="L46" s="913"/>
    </row>
    <row r="47" spans="1:12" ht="15" customHeight="1">
      <c r="A47" s="870"/>
      <c r="B47" s="903"/>
      <c r="C47" s="921"/>
      <c r="D47" s="921"/>
      <c r="E47" s="921"/>
      <c r="F47" s="916"/>
      <c r="G47" s="918"/>
      <c r="H47" s="918"/>
      <c r="I47" s="918"/>
      <c r="J47" s="918"/>
      <c r="K47" s="871"/>
      <c r="L47" s="869"/>
    </row>
    <row r="48" spans="1:12" ht="15.75">
      <c r="A48" s="870"/>
      <c r="B48" s="898" t="s">
        <v>1029</v>
      </c>
      <c r="C48" s="915"/>
      <c r="D48" s="915"/>
      <c r="E48" s="915"/>
      <c r="F48" s="899"/>
      <c r="G48" s="922"/>
      <c r="H48" s="922"/>
      <c r="I48" s="901"/>
      <c r="J48" s="902"/>
      <c r="K48" s="871"/>
      <c r="L48" s="869"/>
    </row>
    <row r="49" spans="1:12" ht="15.75">
      <c r="A49" s="892">
        <v>303</v>
      </c>
      <c r="B49" s="924" t="s">
        <v>1026</v>
      </c>
      <c r="C49" s="893" t="s">
        <v>1027</v>
      </c>
      <c r="D49" s="893" t="s">
        <v>1027</v>
      </c>
      <c r="E49" s="925" t="s">
        <v>1027</v>
      </c>
      <c r="F49" s="926" t="str">
        <f>+F41</f>
        <v>Note 10</v>
      </c>
      <c r="G49" s="917">
        <v>226115528.56999993</v>
      </c>
      <c r="H49" s="917">
        <v>180054329.19000006</v>
      </c>
      <c r="I49" s="918">
        <f t="shared" ref="I49:I68" si="4">G49-H49</f>
        <v>46061199.379999876</v>
      </c>
      <c r="J49" s="917">
        <v>16412985.710000001</v>
      </c>
      <c r="K49" s="927"/>
      <c r="L49" s="869"/>
    </row>
    <row r="50" spans="1:12" ht="15.75">
      <c r="A50" s="892">
        <v>303</v>
      </c>
      <c r="B50" s="924" t="s">
        <v>1028</v>
      </c>
      <c r="C50" s="893" t="s">
        <v>1027</v>
      </c>
      <c r="D50" s="893" t="s">
        <v>1027</v>
      </c>
      <c r="E50" s="925" t="s">
        <v>1027</v>
      </c>
      <c r="F50" s="926">
        <v>0</v>
      </c>
      <c r="G50" s="917">
        <v>190679.13</v>
      </c>
      <c r="H50" s="917">
        <v>115996.49</v>
      </c>
      <c r="I50" s="918">
        <f t="shared" si="4"/>
        <v>74682.64</v>
      </c>
      <c r="J50" s="929" t="s">
        <v>749</v>
      </c>
      <c r="K50" s="871"/>
      <c r="L50" s="869"/>
    </row>
    <row r="51" spans="1:12" ht="15.75">
      <c r="A51" s="892">
        <v>390</v>
      </c>
      <c r="B51" s="903" t="s">
        <v>999</v>
      </c>
      <c r="C51" s="893">
        <v>50</v>
      </c>
      <c r="D51" s="894" t="s">
        <v>1010</v>
      </c>
      <c r="E51" s="930">
        <v>36.619999999999997</v>
      </c>
      <c r="F51" s="926">
        <f t="shared" si="2"/>
        <v>2.6603748060194759E-2</v>
      </c>
      <c r="G51" s="917">
        <v>271950717.30000001</v>
      </c>
      <c r="H51" s="917">
        <v>75887587.090000004</v>
      </c>
      <c r="I51" s="918">
        <f t="shared" si="4"/>
        <v>196063130.21000001</v>
      </c>
      <c r="J51" s="917">
        <v>5216014.12</v>
      </c>
      <c r="K51" s="871"/>
      <c r="L51" s="869"/>
    </row>
    <row r="52" spans="1:12" ht="15.75">
      <c r="A52" s="892">
        <v>391.1</v>
      </c>
      <c r="B52" s="903" t="s">
        <v>1011</v>
      </c>
      <c r="C52" s="893">
        <v>10</v>
      </c>
      <c r="D52" s="894" t="s">
        <v>1012</v>
      </c>
      <c r="E52" s="930">
        <v>2.95</v>
      </c>
      <c r="F52" s="926">
        <f t="shared" si="2"/>
        <v>0.40990945777589616</v>
      </c>
      <c r="G52" s="917">
        <v>124606.38</v>
      </c>
      <c r="H52" s="917">
        <v>69711.55</v>
      </c>
      <c r="I52" s="918">
        <f t="shared" si="4"/>
        <v>54894.83</v>
      </c>
      <c r="J52" s="917">
        <v>22501.91</v>
      </c>
      <c r="K52" s="871"/>
      <c r="L52" s="869"/>
    </row>
    <row r="53" spans="1:12" ht="15.75">
      <c r="A53" s="892">
        <v>391.2</v>
      </c>
      <c r="B53" s="903" t="s">
        <v>1013</v>
      </c>
      <c r="C53" s="893">
        <v>15</v>
      </c>
      <c r="D53" s="894" t="s">
        <v>1012</v>
      </c>
      <c r="E53" s="930">
        <v>7.92</v>
      </c>
      <c r="F53" s="926">
        <f t="shared" si="2"/>
        <v>7.1717708299849053E-2</v>
      </c>
      <c r="G53" s="917">
        <v>15436121.01</v>
      </c>
      <c r="H53" s="917">
        <v>4846264.92</v>
      </c>
      <c r="I53" s="918">
        <f t="shared" si="4"/>
        <v>10589856.09</v>
      </c>
      <c r="J53" s="917">
        <v>759480.21</v>
      </c>
      <c r="K53" s="871"/>
      <c r="L53" s="869"/>
    </row>
    <row r="54" spans="1:12" ht="15.75">
      <c r="A54" s="892">
        <v>391.3</v>
      </c>
      <c r="B54" s="903" t="s">
        <v>1014</v>
      </c>
      <c r="C54" s="893">
        <v>5</v>
      </c>
      <c r="D54" s="894" t="s">
        <v>1012</v>
      </c>
      <c r="E54" s="930">
        <v>2.73</v>
      </c>
      <c r="F54" s="926">
        <f t="shared" si="2"/>
        <v>0.31697726588383313</v>
      </c>
      <c r="G54" s="917">
        <v>28566525.82</v>
      </c>
      <c r="H54" s="917">
        <v>10280665.180000002</v>
      </c>
      <c r="I54" s="918">
        <f t="shared" si="4"/>
        <v>18285860.640000001</v>
      </c>
      <c r="J54" s="917">
        <v>5796202.1099999994</v>
      </c>
      <c r="K54" s="871"/>
      <c r="L54" s="869"/>
    </row>
    <row r="55" spans="1:12" ht="15.75">
      <c r="A55" s="892">
        <v>392.1</v>
      </c>
      <c r="B55" s="903" t="s">
        <v>1030</v>
      </c>
      <c r="C55" s="893">
        <v>6</v>
      </c>
      <c r="D55" s="894" t="s">
        <v>1021</v>
      </c>
      <c r="E55" s="930">
        <v>4.58</v>
      </c>
      <c r="F55" s="926">
        <f t="shared" si="2"/>
        <v>0.58228588132124826</v>
      </c>
      <c r="G55" s="917">
        <v>93641.33</v>
      </c>
      <c r="H55" s="917">
        <v>92683.45</v>
      </c>
      <c r="I55" s="918">
        <f t="shared" si="4"/>
        <v>957.88000000000466</v>
      </c>
      <c r="J55" s="917">
        <v>557.76</v>
      </c>
      <c r="K55" s="871"/>
      <c r="L55" s="931"/>
    </row>
    <row r="56" spans="1:12" ht="15.75">
      <c r="A56" s="892">
        <v>392.2</v>
      </c>
      <c r="B56" s="903" t="s">
        <v>1031</v>
      </c>
      <c r="C56" s="893">
        <v>12</v>
      </c>
      <c r="D56" s="894" t="s">
        <v>1032</v>
      </c>
      <c r="E56" s="930">
        <v>7.95</v>
      </c>
      <c r="F56" s="926">
        <f t="shared" si="2"/>
        <v>0.12343417152882356</v>
      </c>
      <c r="G56" s="917">
        <v>31551731.710000001</v>
      </c>
      <c r="H56" s="917">
        <v>14085642.35</v>
      </c>
      <c r="I56" s="918">
        <f t="shared" si="4"/>
        <v>17466089.359999999</v>
      </c>
      <c r="J56" s="917">
        <v>2155912.27</v>
      </c>
      <c r="K56" s="871"/>
      <c r="L56" s="931"/>
    </row>
    <row r="57" spans="1:12" ht="15.75">
      <c r="A57" s="892">
        <v>392.3</v>
      </c>
      <c r="B57" s="903" t="s">
        <v>1033</v>
      </c>
      <c r="C57" s="893">
        <v>14</v>
      </c>
      <c r="D57" s="894" t="s">
        <v>1003</v>
      </c>
      <c r="E57" s="930">
        <v>9.1300000000000008</v>
      </c>
      <c r="F57" s="926">
        <f t="shared" si="2"/>
        <v>0.10655323958115458</v>
      </c>
      <c r="G57" s="917">
        <v>75251944.780000001</v>
      </c>
      <c r="H57" s="917">
        <v>30514201.199999999</v>
      </c>
      <c r="I57" s="918">
        <f t="shared" si="4"/>
        <v>44737743.579999998</v>
      </c>
      <c r="J57" s="917">
        <v>4766951.51</v>
      </c>
      <c r="K57" s="871"/>
      <c r="L57" s="931"/>
    </row>
    <row r="58" spans="1:12" ht="15.75">
      <c r="A58" s="892">
        <v>392.4</v>
      </c>
      <c r="B58" s="903" t="s">
        <v>1034</v>
      </c>
      <c r="C58" s="893">
        <v>11</v>
      </c>
      <c r="D58" s="894" t="s">
        <v>1035</v>
      </c>
      <c r="E58" s="930">
        <v>2.61</v>
      </c>
      <c r="F58" s="926">
        <f t="shared" si="2"/>
        <v>-0.29626181719865374</v>
      </c>
      <c r="G58" s="917">
        <v>279350.53000000003</v>
      </c>
      <c r="H58" s="917">
        <v>282605.32</v>
      </c>
      <c r="I58" s="918">
        <f t="shared" si="4"/>
        <v>-3254.789999999979</v>
      </c>
      <c r="J58" s="917">
        <v>964.27</v>
      </c>
      <c r="K58" s="871"/>
      <c r="L58" s="931"/>
    </row>
    <row r="59" spans="1:12" ht="15.75">
      <c r="A59" s="892">
        <v>392.5</v>
      </c>
      <c r="B59" s="903" t="s">
        <v>1036</v>
      </c>
      <c r="C59" s="893">
        <v>15</v>
      </c>
      <c r="D59" s="894" t="s">
        <v>1037</v>
      </c>
      <c r="E59" s="930">
        <v>10</v>
      </c>
      <c r="F59" s="926">
        <f t="shared" si="2"/>
        <v>0.10542115135549444</v>
      </c>
      <c r="G59" s="917">
        <v>4549639.4400000004</v>
      </c>
      <c r="H59" s="917">
        <v>2154027.2999999998</v>
      </c>
      <c r="I59" s="918">
        <f t="shared" si="4"/>
        <v>2395612.1400000006</v>
      </c>
      <c r="J59" s="917">
        <v>252548.19</v>
      </c>
      <c r="K59" s="871"/>
      <c r="L59" s="931"/>
    </row>
    <row r="60" spans="1:12" ht="15.75">
      <c r="A60" s="892">
        <v>392.6</v>
      </c>
      <c r="B60" s="903" t="s">
        <v>1038</v>
      </c>
      <c r="C60" s="893">
        <v>15</v>
      </c>
      <c r="D60" s="894" t="s">
        <v>1037</v>
      </c>
      <c r="E60" s="930">
        <v>7.27</v>
      </c>
      <c r="F60" s="926">
        <f t="shared" si="2"/>
        <v>0.1366376338053604</v>
      </c>
      <c r="G60" s="917">
        <v>5071551.05</v>
      </c>
      <c r="H60" s="917">
        <v>3639342.92</v>
      </c>
      <c r="I60" s="918">
        <f t="shared" si="4"/>
        <v>1432208.13</v>
      </c>
      <c r="J60" s="917">
        <v>195693.53</v>
      </c>
      <c r="K60" s="871"/>
      <c r="L60" s="931"/>
    </row>
    <row r="61" spans="1:12" ht="15.75">
      <c r="A61" s="892">
        <v>392.7</v>
      </c>
      <c r="B61" s="903" t="s">
        <v>1166</v>
      </c>
      <c r="C61" s="893" t="s">
        <v>1027</v>
      </c>
      <c r="D61" s="893" t="s">
        <v>1027</v>
      </c>
      <c r="E61" s="930">
        <v>8</v>
      </c>
      <c r="F61" s="926">
        <f t="shared" si="2"/>
        <v>2.4138803840575155E-2</v>
      </c>
      <c r="G61" s="917">
        <v>4348812.79</v>
      </c>
      <c r="H61" s="917">
        <v>102500.89</v>
      </c>
      <c r="I61" s="918">
        <f t="shared" si="4"/>
        <v>4246311.9000000004</v>
      </c>
      <c r="J61" s="917">
        <v>102500.89</v>
      </c>
      <c r="K61" s="871"/>
      <c r="L61" s="931"/>
    </row>
    <row r="62" spans="1:12" ht="15.75">
      <c r="A62" s="892">
        <v>393</v>
      </c>
      <c r="B62" s="903" t="s">
        <v>1016</v>
      </c>
      <c r="C62" s="893">
        <v>15</v>
      </c>
      <c r="D62" s="894" t="s">
        <v>1012</v>
      </c>
      <c r="E62" s="930">
        <v>7.46</v>
      </c>
      <c r="F62" s="926">
        <f t="shared" si="2"/>
        <v>8.2954214222939235E-2</v>
      </c>
      <c r="G62" s="917">
        <v>1253293.1000000001</v>
      </c>
      <c r="H62" s="917">
        <v>207643.27</v>
      </c>
      <c r="I62" s="918">
        <f t="shared" si="4"/>
        <v>1045649.8300000001</v>
      </c>
      <c r="J62" s="917">
        <v>86741.06</v>
      </c>
      <c r="K62" s="871"/>
      <c r="L62" s="869"/>
    </row>
    <row r="63" spans="1:12" ht="15.75">
      <c r="A63" s="892">
        <v>394.1</v>
      </c>
      <c r="B63" s="903" t="s">
        <v>1039</v>
      </c>
      <c r="C63" s="893">
        <v>15</v>
      </c>
      <c r="D63" s="894" t="s">
        <v>1012</v>
      </c>
      <c r="E63" s="930">
        <v>5.5</v>
      </c>
      <c r="F63" s="926">
        <f t="shared" si="2"/>
        <v>0.20106630383635019</v>
      </c>
      <c r="G63" s="917">
        <v>11617</v>
      </c>
      <c r="H63" s="917">
        <v>-42829.020000000004</v>
      </c>
      <c r="I63" s="918">
        <f t="shared" si="4"/>
        <v>54446.020000000004</v>
      </c>
      <c r="J63" s="917">
        <v>10947.26</v>
      </c>
      <c r="K63" s="871"/>
      <c r="L63" s="869"/>
    </row>
    <row r="64" spans="1:12" ht="15.75">
      <c r="A64" s="892">
        <v>394.2</v>
      </c>
      <c r="B64" s="903" t="s">
        <v>1040</v>
      </c>
      <c r="C64" s="893">
        <v>15</v>
      </c>
      <c r="D64" s="894" t="s">
        <v>1012</v>
      </c>
      <c r="E64" s="930">
        <v>10.25</v>
      </c>
      <c r="F64" s="926">
        <f t="shared" si="2"/>
        <v>0.10291119074589303</v>
      </c>
      <c r="G64" s="917">
        <v>78687.08</v>
      </c>
      <c r="H64" s="917">
        <v>27422.49</v>
      </c>
      <c r="I64" s="918">
        <f t="shared" si="4"/>
        <v>51264.59</v>
      </c>
      <c r="J64" s="917">
        <v>5275.7</v>
      </c>
      <c r="K64" s="871"/>
      <c r="L64" s="869"/>
    </row>
    <row r="65" spans="1:16" ht="15.75">
      <c r="A65" s="892">
        <v>394.3</v>
      </c>
      <c r="B65" s="903" t="s">
        <v>1041</v>
      </c>
      <c r="C65" s="893">
        <v>20</v>
      </c>
      <c r="D65" s="894" t="s">
        <v>1012</v>
      </c>
      <c r="E65" s="930">
        <v>8</v>
      </c>
      <c r="F65" s="926">
        <f t="shared" si="2"/>
        <v>0.11010010078508843</v>
      </c>
      <c r="G65" s="917">
        <v>2499656.66</v>
      </c>
      <c r="H65" s="917">
        <v>1383777.3</v>
      </c>
      <c r="I65" s="918">
        <f t="shared" si="4"/>
        <v>1115879.3600000001</v>
      </c>
      <c r="J65" s="917">
        <v>122858.43</v>
      </c>
      <c r="K65" s="871"/>
      <c r="L65" s="931"/>
    </row>
    <row r="66" spans="1:16" ht="15.75">
      <c r="A66" s="892">
        <v>396</v>
      </c>
      <c r="B66" s="903" t="s">
        <v>1042</v>
      </c>
      <c r="C66" s="893">
        <v>11</v>
      </c>
      <c r="D66" s="894" t="s">
        <v>1035</v>
      </c>
      <c r="E66" s="930">
        <v>3.17</v>
      </c>
      <c r="F66" s="926">
        <f t="shared" si="2"/>
        <v>0.37612315048910949</v>
      </c>
      <c r="G66" s="917">
        <v>185066.3</v>
      </c>
      <c r="H66" s="917">
        <v>179896.69</v>
      </c>
      <c r="I66" s="918">
        <f t="shared" si="4"/>
        <v>5169.609999999986</v>
      </c>
      <c r="J66" s="917">
        <v>1944.41</v>
      </c>
      <c r="K66" s="871"/>
      <c r="L66" s="931"/>
    </row>
    <row r="67" spans="1:16" ht="15.75">
      <c r="A67" s="892">
        <v>397</v>
      </c>
      <c r="B67" s="903" t="s">
        <v>1020</v>
      </c>
      <c r="C67" s="893">
        <v>20</v>
      </c>
      <c r="D67" s="894" t="s">
        <v>1021</v>
      </c>
      <c r="E67" s="930">
        <v>10.02</v>
      </c>
      <c r="F67" s="926">
        <f t="shared" si="2"/>
        <v>0.10507178063196555</v>
      </c>
      <c r="G67" s="917">
        <v>32006547.48</v>
      </c>
      <c r="H67" s="917">
        <v>15508096.33</v>
      </c>
      <c r="I67" s="918">
        <f t="shared" si="4"/>
        <v>16498451.15</v>
      </c>
      <c r="J67" s="917">
        <v>1733521.64</v>
      </c>
      <c r="K67" s="871"/>
      <c r="L67" s="869"/>
    </row>
    <row r="68" spans="1:16" ht="15.75">
      <c r="A68" s="892">
        <v>398</v>
      </c>
      <c r="B68" s="903" t="s">
        <v>1024</v>
      </c>
      <c r="C68" s="893">
        <v>15</v>
      </c>
      <c r="D68" s="894" t="s">
        <v>1012</v>
      </c>
      <c r="E68" s="930">
        <v>7.69</v>
      </c>
      <c r="F68" s="926">
        <f t="shared" si="2"/>
        <v>0.1377897798203935</v>
      </c>
      <c r="G68" s="917">
        <v>1679305.91</v>
      </c>
      <c r="H68" s="917">
        <v>848595.46</v>
      </c>
      <c r="I68" s="918">
        <f t="shared" si="4"/>
        <v>830710.45</v>
      </c>
      <c r="J68" s="917">
        <v>114463.41</v>
      </c>
      <c r="K68" s="871"/>
      <c r="L68" s="869"/>
    </row>
    <row r="69" spans="1:16" ht="16.5" thickBot="1">
      <c r="A69" s="870"/>
      <c r="B69" s="898"/>
      <c r="C69" s="915"/>
      <c r="D69" s="915"/>
      <c r="E69" s="915"/>
      <c r="F69" s="915"/>
      <c r="G69" s="932">
        <f>SUM(G49:G68)</f>
        <v>701245023.36999989</v>
      </c>
      <c r="H69" s="932">
        <f>SUM(H49:H68)</f>
        <v>340238160.37000006</v>
      </c>
      <c r="I69" s="932">
        <f>SUM(I49:I68)</f>
        <v>361006862.99999976</v>
      </c>
      <c r="J69" s="932">
        <f>SUM(J49:J68)</f>
        <v>37758064.390000001</v>
      </c>
      <c r="K69" s="871"/>
      <c r="L69" s="869"/>
      <c r="M69" s="863"/>
      <c r="O69" s="864"/>
    </row>
    <row r="70" spans="1:16" ht="16.5" thickTop="1">
      <c r="A70" s="870"/>
      <c r="B70" s="898"/>
      <c r="C70" s="915"/>
      <c r="D70" s="915"/>
      <c r="E70" s="915"/>
      <c r="F70" s="915"/>
      <c r="G70" s="915"/>
      <c r="H70" s="922"/>
      <c r="I70" s="922"/>
      <c r="J70" s="922"/>
      <c r="K70" s="922"/>
      <c r="L70" s="869"/>
      <c r="N70" s="861"/>
      <c r="O70" s="865"/>
      <c r="P70" s="866"/>
    </row>
    <row r="71" spans="1:16" ht="15.75">
      <c r="A71" s="892"/>
      <c r="B71" s="933"/>
      <c r="C71" s="915"/>
      <c r="D71" s="915"/>
      <c r="E71" s="915"/>
      <c r="F71" s="915"/>
      <c r="G71" s="915"/>
      <c r="H71" s="922"/>
      <c r="I71" s="922"/>
      <c r="J71" s="922"/>
      <c r="K71" s="922"/>
      <c r="L71" s="869"/>
      <c r="O71" s="864"/>
      <c r="P71" s="860"/>
    </row>
    <row r="72" spans="1:16" s="867" customFormat="1" ht="18" customHeight="1">
      <c r="A72" s="934">
        <v>1</v>
      </c>
      <c r="B72" s="934" t="s">
        <v>1043</v>
      </c>
      <c r="C72" s="935"/>
      <c r="D72" s="935"/>
      <c r="E72" s="935"/>
      <c r="F72" s="935"/>
      <c r="G72" s="935"/>
      <c r="H72" s="936"/>
      <c r="I72" s="936"/>
      <c r="J72" s="936"/>
      <c r="K72" s="936"/>
      <c r="L72" s="935"/>
    </row>
    <row r="73" spans="1:16" s="867" customFormat="1" ht="33" customHeight="1">
      <c r="A73" s="934">
        <v>2</v>
      </c>
      <c r="B73" s="1016" t="s">
        <v>1131</v>
      </c>
      <c r="C73" s="1016"/>
      <c r="D73" s="1016"/>
      <c r="E73" s="1016"/>
      <c r="F73" s="1016"/>
      <c r="G73" s="1016"/>
      <c r="H73" s="1016"/>
      <c r="I73" s="1016"/>
      <c r="J73" s="1016"/>
      <c r="K73" s="1016"/>
      <c r="L73" s="935"/>
    </row>
    <row r="74" spans="1:16" s="867" customFormat="1" ht="15.75">
      <c r="A74" s="934">
        <v>3</v>
      </c>
      <c r="B74" s="1015" t="s">
        <v>1053</v>
      </c>
      <c r="C74" s="1015"/>
      <c r="D74" s="1015"/>
      <c r="E74" s="1015"/>
      <c r="F74" s="1015"/>
      <c r="G74" s="1015"/>
      <c r="H74" s="1015"/>
      <c r="I74" s="1015"/>
      <c r="J74" s="1015"/>
      <c r="K74" s="1015"/>
      <c r="L74" s="935"/>
    </row>
    <row r="75" spans="1:16" s="867" customFormat="1" ht="15.75">
      <c r="A75" s="934">
        <v>4</v>
      </c>
      <c r="B75" s="934" t="s">
        <v>1142</v>
      </c>
      <c r="C75" s="935"/>
      <c r="D75" s="935"/>
      <c r="E75" s="935"/>
      <c r="F75" s="935"/>
      <c r="G75" s="935"/>
      <c r="H75" s="936"/>
      <c r="I75" s="936"/>
      <c r="J75" s="936"/>
      <c r="K75" s="936"/>
      <c r="L75" s="935"/>
    </row>
    <row r="76" spans="1:16" s="867" customFormat="1" ht="15.75">
      <c r="A76" s="934">
        <v>5</v>
      </c>
      <c r="B76" s="934" t="s">
        <v>1054</v>
      </c>
      <c r="C76" s="935"/>
      <c r="D76" s="935"/>
      <c r="E76" s="935"/>
      <c r="F76" s="935"/>
      <c r="G76" s="935"/>
      <c r="H76" s="936"/>
      <c r="I76" s="936"/>
      <c r="J76" s="936"/>
      <c r="K76" s="936"/>
      <c r="L76" s="935"/>
    </row>
    <row r="77" spans="1:16" s="867" customFormat="1" ht="35.25" customHeight="1">
      <c r="A77" s="934">
        <v>6</v>
      </c>
      <c r="B77" s="1015" t="s">
        <v>1055</v>
      </c>
      <c r="C77" s="1015"/>
      <c r="D77" s="1015"/>
      <c r="E77" s="1015"/>
      <c r="F77" s="1015"/>
      <c r="G77" s="1015"/>
      <c r="H77" s="1015"/>
      <c r="I77" s="1015"/>
      <c r="J77" s="1015"/>
      <c r="K77" s="1015"/>
      <c r="L77" s="935"/>
    </row>
    <row r="78" spans="1:16" s="867" customFormat="1" ht="31.5" customHeight="1">
      <c r="A78" s="934">
        <v>7</v>
      </c>
      <c r="B78" s="1015" t="s">
        <v>1044</v>
      </c>
      <c r="C78" s="1015"/>
      <c r="D78" s="1015"/>
      <c r="E78" s="1015"/>
      <c r="F78" s="1015"/>
      <c r="G78" s="1015"/>
      <c r="H78" s="1015"/>
      <c r="I78" s="1015"/>
      <c r="J78" s="1015"/>
      <c r="K78" s="1015"/>
      <c r="L78" s="935"/>
    </row>
    <row r="79" spans="1:16" s="867" customFormat="1" ht="15.75">
      <c r="A79" s="934">
        <v>8</v>
      </c>
      <c r="B79" s="934" t="s">
        <v>1045</v>
      </c>
      <c r="C79" s="935"/>
      <c r="D79" s="935"/>
      <c r="E79" s="935"/>
      <c r="F79" s="935"/>
      <c r="G79" s="935"/>
      <c r="H79" s="936"/>
      <c r="I79" s="936"/>
      <c r="J79" s="936"/>
      <c r="K79" s="936"/>
      <c r="L79" s="935"/>
    </row>
    <row r="80" spans="1:16" ht="15.75">
      <c r="A80" s="934">
        <v>9</v>
      </c>
      <c r="B80" s="934" t="s">
        <v>1056</v>
      </c>
      <c r="C80" s="935"/>
      <c r="D80" s="935"/>
      <c r="E80" s="935"/>
      <c r="F80" s="935"/>
      <c r="G80" s="935"/>
      <c r="H80" s="936"/>
      <c r="I80" s="936"/>
      <c r="J80" s="936"/>
      <c r="K80" s="936"/>
      <c r="L80" s="935"/>
    </row>
    <row r="81" spans="1:12" ht="48" customHeight="1">
      <c r="A81" s="937">
        <v>10</v>
      </c>
      <c r="B81" s="1013" t="s">
        <v>1133</v>
      </c>
      <c r="C81" s="1013"/>
      <c r="D81" s="1013"/>
      <c r="E81" s="1013"/>
      <c r="F81" s="1013"/>
      <c r="G81" s="1013"/>
      <c r="H81" s="1013"/>
      <c r="I81" s="1013"/>
      <c r="J81" s="1013"/>
      <c r="K81" s="1013"/>
      <c r="L81" s="947"/>
    </row>
    <row r="82" spans="1:12" ht="36" customHeight="1">
      <c r="A82" s="937">
        <v>11</v>
      </c>
      <c r="B82" s="1020" t="s">
        <v>1143</v>
      </c>
      <c r="C82" s="1020"/>
      <c r="D82" s="1020"/>
      <c r="E82" s="1020"/>
      <c r="F82" s="1020"/>
      <c r="G82" s="1020"/>
      <c r="H82" s="1020"/>
      <c r="I82" s="1020"/>
      <c r="J82" s="1020"/>
      <c r="K82" s="1020"/>
      <c r="L82" s="869"/>
    </row>
    <row r="83" spans="1:12" ht="15.75">
      <c r="A83" s="869"/>
      <c r="B83" s="1013"/>
      <c r="C83" s="1013"/>
      <c r="D83" s="1013"/>
      <c r="E83" s="869"/>
      <c r="F83" s="869"/>
      <c r="G83" s="869"/>
      <c r="H83" s="871"/>
      <c r="I83" s="871"/>
      <c r="J83" s="871"/>
      <c r="K83" s="871"/>
      <c r="L83" s="869"/>
    </row>
    <row r="84" spans="1:12" ht="15.75">
      <c r="A84" s="869"/>
      <c r="B84" s="869"/>
      <c r="C84" s="869"/>
      <c r="D84" s="869"/>
      <c r="E84" s="869"/>
      <c r="F84" s="869"/>
      <c r="G84" s="869"/>
      <c r="H84" s="871"/>
      <c r="I84" s="871"/>
      <c r="J84" s="871"/>
      <c r="K84" s="871"/>
      <c r="L84" s="869"/>
    </row>
  </sheetData>
  <mergeCells count="12">
    <mergeCell ref="B83:D83"/>
    <mergeCell ref="A2:K2"/>
    <mergeCell ref="A3:K3"/>
    <mergeCell ref="B74:K74"/>
    <mergeCell ref="B78:K78"/>
    <mergeCell ref="B73:K73"/>
    <mergeCell ref="B77:K77"/>
    <mergeCell ref="G13:I13"/>
    <mergeCell ref="B81:K81"/>
    <mergeCell ref="B82:K82"/>
    <mergeCell ref="A45:K45"/>
    <mergeCell ref="A46:K46"/>
  </mergeCells>
  <pageMargins left="0.5" right="0.5" top="0.5" bottom="0.5" header="0.05" footer="0.05"/>
  <pageSetup scale="54" fitToHeight="0" orientation="landscape"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8"/>
  <sheetViews>
    <sheetView tabSelected="1" view="pageBreakPreview" topLeftCell="A58" zoomScale="60" zoomScaleNormal="65" workbookViewId="0">
      <selection activeCell="K80" sqref="K80"/>
    </sheetView>
  </sheetViews>
  <sheetFormatPr defaultColWidth="8.88671875" defaultRowHeight="12.75"/>
  <cols>
    <col min="1" max="1" width="6" style="219" customWidth="1"/>
    <col min="2" max="2" width="1.44140625" style="219" customWidth="1"/>
    <col min="3" max="3" width="42.77734375" style="219" customWidth="1"/>
    <col min="4" max="4" width="13.77734375" style="219" customWidth="1"/>
    <col min="5" max="5" width="17.5546875" style="219" customWidth="1"/>
    <col min="6" max="6" width="13.109375" style="219" customWidth="1"/>
    <col min="7" max="7" width="14.44140625" style="219" customWidth="1"/>
    <col min="8" max="8" width="16.33203125" style="219" customWidth="1"/>
    <col min="9" max="9" width="13.77734375" style="219" customWidth="1"/>
    <col min="10" max="10" width="14.44140625" style="219" customWidth="1"/>
    <col min="11" max="11" width="13.5546875" style="219" customWidth="1"/>
    <col min="12" max="13" width="15.77734375" style="219" customWidth="1"/>
    <col min="14" max="15" width="14.44140625" style="219" customWidth="1"/>
    <col min="16" max="16" width="12.77734375" style="219" customWidth="1"/>
    <col min="17" max="17" width="13.88671875" style="219" customWidth="1"/>
    <col min="18" max="18" width="9.33203125" style="219" customWidth="1"/>
    <col min="19" max="19" width="13" style="219" customWidth="1"/>
    <col min="20" max="20" width="11.33203125" style="220" bestFit="1" customWidth="1"/>
    <col min="21" max="16384" width="8.88671875" style="219"/>
  </cols>
  <sheetData>
    <row r="1" spans="1:21">
      <c r="Q1" s="17"/>
    </row>
    <row r="2" spans="1:21">
      <c r="Q2" s="17"/>
    </row>
    <row r="4" spans="1:21">
      <c r="Q4" s="17"/>
    </row>
    <row r="5" spans="1:21">
      <c r="D5" s="2"/>
      <c r="E5" s="2"/>
      <c r="F5" s="2"/>
      <c r="G5" s="364" t="s">
        <v>199</v>
      </c>
      <c r="H5" s="2"/>
      <c r="I5" s="2"/>
      <c r="J5" s="2"/>
      <c r="K5" s="5"/>
      <c r="L5" s="18"/>
      <c r="M5" s="19"/>
      <c r="N5" s="19"/>
      <c r="O5" s="19"/>
      <c r="P5" s="19"/>
      <c r="Q5" s="19"/>
      <c r="R5" s="6"/>
      <c r="S5" s="6" t="s">
        <v>465</v>
      </c>
      <c r="T5" s="217"/>
      <c r="U5" s="6"/>
    </row>
    <row r="6" spans="1:21">
      <c r="D6" s="2"/>
      <c r="E6" s="3" t="s">
        <v>2</v>
      </c>
      <c r="F6" s="3"/>
      <c r="G6" s="364" t="s">
        <v>198</v>
      </c>
      <c r="H6" s="3"/>
      <c r="I6" s="3"/>
      <c r="J6" s="3"/>
      <c r="K6" s="5"/>
      <c r="P6" s="6"/>
      <c r="Q6" s="5"/>
      <c r="R6" s="6"/>
      <c r="S6" s="21"/>
      <c r="T6" s="217"/>
      <c r="U6" s="6"/>
    </row>
    <row r="7" spans="1:21">
      <c r="C7" s="6"/>
      <c r="D7" s="6"/>
      <c r="E7" s="6"/>
      <c r="F7" s="6"/>
      <c r="G7" s="225" t="str">
        <f>+'Attachment H-7'!D5</f>
        <v>PECO Energy Company</v>
      </c>
      <c r="H7" s="6"/>
      <c r="I7" s="6"/>
      <c r="J7" s="6"/>
      <c r="K7" s="6"/>
      <c r="P7" s="6"/>
      <c r="Q7" s="6"/>
      <c r="R7" s="6"/>
      <c r="S7" s="20"/>
      <c r="T7" s="217"/>
      <c r="U7" s="6"/>
    </row>
    <row r="8" spans="1:21">
      <c r="A8" s="668"/>
      <c r="C8" s="6"/>
      <c r="D8" s="6"/>
      <c r="E8" s="6"/>
      <c r="F8" s="6"/>
      <c r="H8" s="6"/>
      <c r="I8" s="6"/>
      <c r="J8" s="6"/>
      <c r="K8" s="6"/>
      <c r="L8" s="6"/>
      <c r="M8" s="6"/>
      <c r="N8" s="6"/>
      <c r="O8" s="6"/>
      <c r="P8" s="6"/>
      <c r="Q8" s="6"/>
      <c r="R8" s="6"/>
      <c r="S8" s="20"/>
      <c r="T8" s="217"/>
      <c r="U8" s="6"/>
    </row>
    <row r="9" spans="1:21">
      <c r="A9" s="364"/>
      <c r="C9" s="6"/>
      <c r="D9" s="6"/>
      <c r="E9" s="6"/>
      <c r="F9" s="6"/>
      <c r="G9" s="22"/>
      <c r="H9" s="6"/>
      <c r="I9" s="6"/>
      <c r="J9" s="6"/>
      <c r="K9" s="6"/>
      <c r="L9" s="6"/>
      <c r="M9" s="6"/>
      <c r="N9" s="6"/>
      <c r="O9" s="6"/>
      <c r="P9" s="6"/>
      <c r="Q9" s="6"/>
      <c r="R9" s="6"/>
      <c r="S9" s="20"/>
      <c r="T9" s="217"/>
      <c r="U9" s="6"/>
    </row>
    <row r="10" spans="1:21">
      <c r="A10" s="364"/>
      <c r="C10" s="6" t="s">
        <v>956</v>
      </c>
      <c r="D10" s="6"/>
      <c r="E10" s="6"/>
      <c r="F10" s="6"/>
      <c r="G10" s="22"/>
      <c r="H10" s="6"/>
      <c r="I10" s="6"/>
      <c r="J10" s="6"/>
      <c r="K10" s="6"/>
      <c r="L10" s="6"/>
      <c r="M10" s="6"/>
      <c r="N10" s="6"/>
      <c r="O10" s="6"/>
      <c r="P10" s="6"/>
      <c r="Q10" s="6"/>
      <c r="R10" s="6"/>
      <c r="S10" s="20"/>
      <c r="T10" s="217"/>
      <c r="U10" s="6"/>
    </row>
    <row r="11" spans="1:21">
      <c r="A11" s="364"/>
      <c r="C11" s="6"/>
      <c r="D11" s="6"/>
      <c r="E11" s="6"/>
      <c r="F11" s="6"/>
      <c r="G11" s="22"/>
      <c r="L11" s="6"/>
      <c r="M11" s="6"/>
      <c r="N11" s="6"/>
      <c r="O11" s="6"/>
      <c r="P11" s="6"/>
      <c r="Q11" s="6"/>
      <c r="R11" s="6"/>
      <c r="S11" s="6"/>
      <c r="T11" s="192"/>
      <c r="U11" s="6"/>
    </row>
    <row r="12" spans="1:21">
      <c r="A12" s="364"/>
      <c r="C12" s="6"/>
      <c r="D12" s="6"/>
      <c r="E12" s="6"/>
      <c r="F12" s="6"/>
      <c r="G12" s="6"/>
      <c r="L12" s="23"/>
      <c r="M12" s="23"/>
      <c r="N12" s="23"/>
      <c r="O12" s="23"/>
      <c r="P12" s="6"/>
      <c r="Q12" s="6"/>
      <c r="R12" s="6"/>
      <c r="S12" s="6"/>
      <c r="T12" s="192"/>
      <c r="U12" s="6"/>
    </row>
    <row r="13" spans="1:21">
      <c r="C13" s="24" t="s">
        <v>3</v>
      </c>
      <c r="D13" s="24"/>
      <c r="E13" s="24" t="s">
        <v>4</v>
      </c>
      <c r="F13" s="24"/>
      <c r="I13" s="24" t="s">
        <v>5</v>
      </c>
      <c r="L13" s="25" t="s">
        <v>6</v>
      </c>
      <c r="M13" s="25"/>
      <c r="N13" s="25"/>
      <c r="O13" s="25"/>
      <c r="P13" s="3"/>
      <c r="Q13" s="25"/>
      <c r="R13" s="3"/>
      <c r="S13" s="25"/>
      <c r="U13" s="26"/>
    </row>
    <row r="14" spans="1:21">
      <c r="C14" s="26"/>
      <c r="D14" s="26"/>
      <c r="E14" s="27" t="s">
        <v>955</v>
      </c>
      <c r="F14" s="27"/>
      <c r="I14" s="3"/>
      <c r="P14" s="3"/>
      <c r="R14" s="3"/>
      <c r="S14" s="24"/>
      <c r="T14" s="75"/>
      <c r="U14" s="26"/>
    </row>
    <row r="15" spans="1:21">
      <c r="A15" s="364" t="s">
        <v>8</v>
      </c>
      <c r="C15" s="26"/>
      <c r="D15" s="26"/>
      <c r="E15" s="28" t="s">
        <v>18</v>
      </c>
      <c r="F15" s="28"/>
      <c r="I15" s="29" t="s">
        <v>17</v>
      </c>
      <c r="L15" s="29" t="s">
        <v>14</v>
      </c>
      <c r="M15" s="29"/>
      <c r="N15" s="29"/>
      <c r="O15" s="29"/>
      <c r="P15" s="3"/>
      <c r="R15" s="6"/>
      <c r="S15" s="30"/>
      <c r="T15" s="75"/>
      <c r="U15" s="26"/>
    </row>
    <row r="16" spans="1:21">
      <c r="A16" s="364" t="s">
        <v>10</v>
      </c>
      <c r="C16" s="31"/>
      <c r="D16" s="31"/>
      <c r="E16" s="3"/>
      <c r="F16" s="3"/>
      <c r="I16" s="3"/>
      <c r="L16" s="3"/>
      <c r="M16" s="3"/>
      <c r="N16" s="3"/>
      <c r="O16" s="3"/>
      <c r="P16" s="3"/>
      <c r="Q16" s="3"/>
      <c r="R16" s="6"/>
      <c r="S16" s="3"/>
      <c r="U16" s="26"/>
    </row>
    <row r="17" spans="1:21">
      <c r="A17" s="32"/>
      <c r="C17" s="26"/>
      <c r="D17" s="26"/>
      <c r="E17" s="3"/>
      <c r="F17" s="3"/>
      <c r="I17" s="3"/>
      <c r="L17" s="3"/>
      <c r="M17" s="3"/>
      <c r="N17" s="3"/>
      <c r="O17" s="3"/>
      <c r="P17" s="3"/>
      <c r="Q17" s="3"/>
      <c r="R17" s="6"/>
      <c r="S17" s="3"/>
      <c r="U17" s="26"/>
    </row>
    <row r="18" spans="1:21">
      <c r="A18" s="4">
        <v>1</v>
      </c>
      <c r="C18" s="26" t="s">
        <v>133</v>
      </c>
      <c r="D18" s="26"/>
      <c r="E18" s="33" t="s">
        <v>1112</v>
      </c>
      <c r="F18" s="4"/>
      <c r="I18" s="220">
        <f>+'Attachment H-7'!I47</f>
        <v>1492071224.8461537</v>
      </c>
      <c r="P18" s="3"/>
      <c r="Q18" s="3"/>
      <c r="R18" s="6"/>
      <c r="S18" s="3"/>
      <c r="U18" s="26"/>
    </row>
    <row r="19" spans="1:21">
      <c r="A19" s="4">
        <v>2</v>
      </c>
      <c r="C19" s="26" t="s">
        <v>134</v>
      </c>
      <c r="D19" s="26"/>
      <c r="E19" s="33" t="s">
        <v>1113</v>
      </c>
      <c r="F19" s="4"/>
      <c r="I19" s="220">
        <f>+'Attachment H-7'!I67+'Attachment H-7'!I82+'Attachment H-7'!I85</f>
        <v>1006218925.6923076</v>
      </c>
      <c r="P19" s="3"/>
      <c r="Q19" s="3"/>
      <c r="R19" s="6"/>
      <c r="S19" s="3"/>
      <c r="U19" s="26"/>
    </row>
    <row r="20" spans="1:21">
      <c r="A20" s="4"/>
      <c r="E20" s="33"/>
      <c r="F20" s="4"/>
      <c r="P20" s="3"/>
      <c r="Q20" s="3"/>
      <c r="R20" s="6"/>
      <c r="S20" s="3"/>
      <c r="U20" s="26"/>
    </row>
    <row r="21" spans="1:21">
      <c r="A21" s="4"/>
      <c r="C21" s="26" t="s">
        <v>135</v>
      </c>
      <c r="D21" s="26"/>
      <c r="E21" s="33"/>
      <c r="F21" s="4"/>
      <c r="I21" s="3"/>
      <c r="L21" s="3"/>
      <c r="M21" s="3"/>
      <c r="N21" s="3"/>
      <c r="O21" s="3"/>
      <c r="P21" s="3"/>
      <c r="Q21" s="3"/>
      <c r="R21" s="3"/>
      <c r="S21" s="3"/>
      <c r="U21" s="26"/>
    </row>
    <row r="22" spans="1:21">
      <c r="A22" s="4">
        <v>3</v>
      </c>
      <c r="C22" s="26" t="s">
        <v>136</v>
      </c>
      <c r="D22" s="26"/>
      <c r="E22" s="33" t="s">
        <v>1114</v>
      </c>
      <c r="F22" s="4"/>
      <c r="I22" s="34">
        <f>+'Attachment H-7'!I122</f>
        <v>69757958.09751299</v>
      </c>
      <c r="P22" s="3"/>
      <c r="Q22" s="3"/>
      <c r="R22" s="3"/>
      <c r="S22" s="3"/>
      <c r="U22" s="26"/>
    </row>
    <row r="23" spans="1:21">
      <c r="A23" s="4">
        <v>4</v>
      </c>
      <c r="C23" s="26" t="s">
        <v>137</v>
      </c>
      <c r="D23" s="26"/>
      <c r="E23" s="33" t="s">
        <v>138</v>
      </c>
      <c r="F23" s="4"/>
      <c r="I23" s="218">
        <f>IF(I18=0,0,I22/I18)</f>
        <v>4.6752431744473646E-2</v>
      </c>
      <c r="L23" s="940">
        <f>I23</f>
        <v>4.6752431744473646E-2</v>
      </c>
      <c r="M23" s="35"/>
      <c r="N23" s="35"/>
      <c r="O23" s="35"/>
      <c r="P23" s="3"/>
      <c r="Q23" s="36"/>
      <c r="R23" s="37"/>
      <c r="S23" s="38"/>
      <c r="U23" s="26"/>
    </row>
    <row r="24" spans="1:21">
      <c r="A24" s="4"/>
      <c r="C24" s="26"/>
      <c r="D24" s="26"/>
      <c r="E24" s="33"/>
      <c r="F24" s="4"/>
      <c r="I24" s="39"/>
      <c r="L24" s="940"/>
      <c r="M24" s="35"/>
      <c r="N24" s="35"/>
      <c r="O24" s="35"/>
      <c r="P24" s="3"/>
      <c r="Q24" s="36"/>
      <c r="R24" s="37"/>
      <c r="S24" s="38"/>
      <c r="U24" s="26"/>
    </row>
    <row r="25" spans="1:21">
      <c r="A25" s="25"/>
      <c r="C25" s="26" t="s">
        <v>399</v>
      </c>
      <c r="D25" s="26"/>
      <c r="E25" s="362"/>
      <c r="F25" s="221"/>
      <c r="I25" s="3"/>
      <c r="L25" s="218"/>
      <c r="M25" s="3"/>
      <c r="N25" s="3"/>
      <c r="O25" s="3"/>
      <c r="P25" s="3"/>
      <c r="Q25" s="36"/>
      <c r="R25" s="37"/>
      <c r="S25" s="38"/>
      <c r="U25" s="26"/>
    </row>
    <row r="26" spans="1:21">
      <c r="A26" s="25" t="s">
        <v>139</v>
      </c>
      <c r="C26" s="26" t="s">
        <v>401</v>
      </c>
      <c r="D26" s="26"/>
      <c r="E26" s="33" t="s">
        <v>1119</v>
      </c>
      <c r="F26" s="4"/>
      <c r="I26" s="34">
        <f>+'Attachment H-7'!I126+'Attachment H-7'!I128+'Attachment H-7'!I127+'Attachment H-7'!I129</f>
        <v>6955512.4818761526</v>
      </c>
      <c r="L26" s="218"/>
      <c r="P26" s="3"/>
      <c r="Q26" s="36"/>
      <c r="R26" s="37"/>
      <c r="S26" s="38"/>
      <c r="U26" s="26"/>
    </row>
    <row r="27" spans="1:21">
      <c r="A27" s="25" t="s">
        <v>140</v>
      </c>
      <c r="C27" s="26" t="s">
        <v>400</v>
      </c>
      <c r="D27" s="26"/>
      <c r="E27" s="33" t="s">
        <v>141</v>
      </c>
      <c r="F27" s="4"/>
      <c r="I27" s="15">
        <f>IF(I26=0,0,I26/I18)</f>
        <v>4.6616490996221243E-3</v>
      </c>
      <c r="J27" s="15"/>
      <c r="K27" s="15"/>
      <c r="L27" s="940">
        <f>I27</f>
        <v>4.6616490996221243E-3</v>
      </c>
      <c r="M27" s="35"/>
      <c r="N27" s="35"/>
      <c r="O27" s="35"/>
      <c r="P27" s="3"/>
      <c r="Q27" s="36"/>
      <c r="R27" s="37"/>
      <c r="S27" s="38"/>
      <c r="U27" s="26"/>
    </row>
    <row r="28" spans="1:21">
      <c r="A28" s="4"/>
      <c r="C28" s="26"/>
      <c r="D28" s="26"/>
      <c r="E28" s="33"/>
      <c r="F28" s="4"/>
      <c r="I28" s="15"/>
      <c r="J28" s="15"/>
      <c r="K28" s="15"/>
      <c r="L28" s="940"/>
      <c r="M28" s="35"/>
      <c r="N28" s="35"/>
      <c r="O28" s="35"/>
      <c r="P28" s="3"/>
      <c r="Q28" s="36"/>
      <c r="R28" s="37"/>
      <c r="S28" s="38"/>
      <c r="U28" s="26"/>
    </row>
    <row r="29" spans="1:21">
      <c r="A29" s="25"/>
      <c r="C29" s="26" t="s">
        <v>142</v>
      </c>
      <c r="D29" s="26"/>
      <c r="E29" s="362"/>
      <c r="F29" s="221"/>
      <c r="I29" s="15"/>
      <c r="J29" s="15"/>
      <c r="K29" s="15"/>
      <c r="L29" s="218"/>
      <c r="M29" s="3"/>
      <c r="N29" s="3"/>
      <c r="O29" s="3"/>
      <c r="P29" s="3"/>
      <c r="Q29" s="3"/>
      <c r="R29" s="3"/>
      <c r="S29" s="3"/>
      <c r="U29" s="26"/>
    </row>
    <row r="30" spans="1:21">
      <c r="A30" s="25" t="s">
        <v>143</v>
      </c>
      <c r="C30" s="26" t="s">
        <v>144</v>
      </c>
      <c r="D30" s="26"/>
      <c r="E30" s="33" t="s">
        <v>1115</v>
      </c>
      <c r="F30" s="4"/>
      <c r="I30" s="15">
        <f>+'Attachment H-7'!I142</f>
        <v>3549858.8702567634</v>
      </c>
      <c r="J30" s="15"/>
      <c r="K30" s="15"/>
      <c r="L30" s="218"/>
      <c r="P30" s="3"/>
      <c r="Q30" s="30"/>
      <c r="R30" s="3"/>
      <c r="S30" s="4"/>
      <c r="T30" s="75"/>
      <c r="U30" s="26"/>
    </row>
    <row r="31" spans="1:21">
      <c r="A31" s="25" t="s">
        <v>145</v>
      </c>
      <c r="C31" s="26" t="s">
        <v>146</v>
      </c>
      <c r="D31" s="26"/>
      <c r="E31" s="33" t="s">
        <v>147</v>
      </c>
      <c r="F31" s="4"/>
      <c r="I31" s="15">
        <f>IF(I30=0,0,I30/I18)</f>
        <v>2.3791484019958808E-3</v>
      </c>
      <c r="J31" s="15"/>
      <c r="K31" s="15"/>
      <c r="L31" s="940">
        <f>I31</f>
        <v>2.3791484019958808E-3</v>
      </c>
      <c r="M31" s="35"/>
      <c r="N31" s="35"/>
      <c r="O31" s="35"/>
      <c r="P31" s="3"/>
      <c r="Q31" s="36"/>
      <c r="R31" s="3"/>
      <c r="S31" s="38"/>
      <c r="T31" s="75"/>
      <c r="U31" s="26"/>
    </row>
    <row r="32" spans="1:21">
      <c r="A32" s="25"/>
      <c r="C32" s="26"/>
      <c r="D32" s="26"/>
      <c r="E32" s="33"/>
      <c r="F32" s="4"/>
      <c r="I32" s="3"/>
      <c r="L32" s="218"/>
      <c r="M32" s="3"/>
      <c r="N32" s="3"/>
      <c r="O32" s="3"/>
      <c r="P32" s="3"/>
      <c r="U32" s="26"/>
    </row>
    <row r="33" spans="1:21">
      <c r="A33" s="25" t="s">
        <v>148</v>
      </c>
      <c r="C33" s="26" t="s">
        <v>191</v>
      </c>
      <c r="D33" s="26"/>
      <c r="E33" s="33" t="s">
        <v>1116</v>
      </c>
      <c r="F33" s="4"/>
      <c r="I33" s="220">
        <f>'Attachment H-7'!I14</f>
        <v>8882124.8739146478</v>
      </c>
      <c r="L33" s="218"/>
      <c r="M33" s="3"/>
      <c r="N33" s="3"/>
      <c r="O33" s="3"/>
      <c r="P33" s="3"/>
      <c r="U33" s="26"/>
    </row>
    <row r="34" spans="1:21">
      <c r="A34" s="25" t="s">
        <v>151</v>
      </c>
      <c r="C34" s="26" t="s">
        <v>385</v>
      </c>
      <c r="D34" s="26"/>
      <c r="E34" s="33" t="s">
        <v>185</v>
      </c>
      <c r="F34" s="4"/>
      <c r="I34" s="40">
        <f>IF(L18=0,0,I33/I18)</f>
        <v>0</v>
      </c>
      <c r="L34" s="218">
        <f>+I34</f>
        <v>0</v>
      </c>
      <c r="M34" s="3"/>
      <c r="N34" s="3"/>
      <c r="O34" s="3"/>
      <c r="P34" s="3"/>
      <c r="U34" s="26"/>
    </row>
    <row r="35" spans="1:21">
      <c r="A35" s="25"/>
      <c r="C35" s="26"/>
      <c r="D35" s="26"/>
      <c r="E35" s="33"/>
      <c r="F35" s="4"/>
      <c r="I35" s="3"/>
      <c r="L35" s="218"/>
      <c r="M35" s="3"/>
      <c r="N35" s="3"/>
      <c r="O35" s="3"/>
      <c r="P35" s="3"/>
      <c r="U35" s="26"/>
    </row>
    <row r="36" spans="1:21">
      <c r="A36" s="41" t="s">
        <v>152</v>
      </c>
      <c r="B36" s="42"/>
      <c r="C36" s="31" t="s">
        <v>149</v>
      </c>
      <c r="D36" s="31"/>
      <c r="E36" s="43" t="s">
        <v>186</v>
      </c>
      <c r="F36" s="27"/>
      <c r="I36" s="37"/>
      <c r="L36" s="941">
        <f>L23+L27+L31+L34</f>
        <v>5.3793229246091652E-2</v>
      </c>
      <c r="M36" s="44"/>
      <c r="N36" s="44"/>
      <c r="O36" s="44"/>
      <c r="P36" s="3"/>
      <c r="U36" s="26"/>
    </row>
    <row r="37" spans="1:21">
      <c r="A37" s="25"/>
      <c r="C37" s="26"/>
      <c r="D37" s="26"/>
      <c r="E37" s="33"/>
      <c r="F37" s="4"/>
      <c r="I37" s="3"/>
      <c r="L37" s="218"/>
      <c r="M37" s="3"/>
      <c r="N37" s="3"/>
      <c r="O37" s="3"/>
      <c r="P37" s="3"/>
      <c r="Q37" s="3"/>
      <c r="R37" s="3"/>
      <c r="S37" s="45"/>
      <c r="U37" s="26"/>
    </row>
    <row r="38" spans="1:21">
      <c r="A38" s="25"/>
      <c r="B38" s="46"/>
      <c r="C38" s="3" t="s">
        <v>150</v>
      </c>
      <c r="D38" s="3"/>
      <c r="E38" s="33"/>
      <c r="F38" s="4"/>
      <c r="I38" s="3"/>
      <c r="L38" s="218"/>
      <c r="M38" s="3"/>
      <c r="N38" s="3"/>
      <c r="O38" s="3"/>
      <c r="P38" s="47"/>
      <c r="Q38" s="46"/>
      <c r="T38" s="75"/>
      <c r="U38" s="3" t="s">
        <v>2</v>
      </c>
    </row>
    <row r="39" spans="1:21">
      <c r="A39" s="25" t="s">
        <v>154</v>
      </c>
      <c r="B39" s="46"/>
      <c r="C39" s="3" t="s">
        <v>41</v>
      </c>
      <c r="D39" s="3"/>
      <c r="E39" s="33" t="s">
        <v>1117</v>
      </c>
      <c r="F39" s="4"/>
      <c r="I39" s="220">
        <f>+'Attachment H-7'!I159</f>
        <v>37631378.577678099</v>
      </c>
      <c r="L39" s="218"/>
      <c r="M39" s="3"/>
      <c r="N39" s="3"/>
      <c r="O39" s="3"/>
      <c r="P39" s="47"/>
      <c r="Q39" s="46"/>
      <c r="T39" s="75"/>
      <c r="U39" s="3"/>
    </row>
    <row r="40" spans="1:21">
      <c r="A40" s="25" t="s">
        <v>156</v>
      </c>
      <c r="B40" s="46"/>
      <c r="C40" s="3" t="s">
        <v>153</v>
      </c>
      <c r="D40" s="3"/>
      <c r="E40" s="33" t="s">
        <v>158</v>
      </c>
      <c r="F40" s="4"/>
      <c r="I40" s="15">
        <f>IF(I19=0,0,I39/I19)</f>
        <v>3.7398798230501011E-2</v>
      </c>
      <c r="L40" s="940">
        <f>I40</f>
        <v>3.7398798230501011E-2</v>
      </c>
      <c r="M40" s="35"/>
      <c r="N40" s="35"/>
      <c r="O40" s="35"/>
      <c r="P40" s="47"/>
      <c r="Q40" s="46"/>
      <c r="R40" s="3"/>
      <c r="S40" s="3"/>
      <c r="T40" s="75"/>
      <c r="U40" s="3"/>
    </row>
    <row r="41" spans="1:21">
      <c r="A41" s="25"/>
      <c r="C41" s="3"/>
      <c r="D41" s="3"/>
      <c r="E41" s="33"/>
      <c r="F41" s="4"/>
      <c r="I41" s="3"/>
      <c r="L41" s="218"/>
      <c r="M41" s="3"/>
      <c r="N41" s="3"/>
      <c r="O41" s="3"/>
      <c r="P41" s="3"/>
      <c r="R41" s="6"/>
      <c r="S41" s="3"/>
      <c r="T41" s="192"/>
      <c r="U41" s="26"/>
    </row>
    <row r="42" spans="1:21">
      <c r="A42" s="25"/>
      <c r="C42" s="26" t="s">
        <v>42</v>
      </c>
      <c r="D42" s="26"/>
      <c r="E42" s="48"/>
      <c r="F42" s="49"/>
      <c r="L42" s="218"/>
      <c r="P42" s="3"/>
      <c r="R42" s="3"/>
      <c r="S42" s="3"/>
      <c r="U42" s="26"/>
    </row>
    <row r="43" spans="1:21">
      <c r="A43" s="25" t="s">
        <v>159</v>
      </c>
      <c r="C43" s="26" t="s">
        <v>155</v>
      </c>
      <c r="D43" s="26"/>
      <c r="E43" s="33" t="s">
        <v>1118</v>
      </c>
      <c r="F43" s="4"/>
      <c r="I43" s="220">
        <f>+'Attachment H-7'!I162</f>
        <v>69269583.676754266</v>
      </c>
      <c r="L43" s="218"/>
      <c r="M43" s="3"/>
      <c r="N43" s="3"/>
      <c r="O43" s="3"/>
      <c r="P43" s="3"/>
      <c r="R43" s="3"/>
      <c r="S43" s="3"/>
      <c r="U43" s="26"/>
    </row>
    <row r="44" spans="1:21">
      <c r="A44" s="25" t="s">
        <v>183</v>
      </c>
      <c r="B44" s="46"/>
      <c r="C44" s="3" t="s">
        <v>157</v>
      </c>
      <c r="D44" s="3"/>
      <c r="E44" s="33" t="s">
        <v>402</v>
      </c>
      <c r="F44" s="4"/>
      <c r="I44" s="15">
        <f>IF(I19=0,0,I43/I19)</f>
        <v>6.8841463729272231E-2</v>
      </c>
      <c r="L44" s="940">
        <f>I44</f>
        <v>6.8841463729272231E-2</v>
      </c>
      <c r="M44" s="35"/>
      <c r="N44" s="35"/>
      <c r="O44" s="35"/>
      <c r="P44" s="3"/>
      <c r="S44" s="50"/>
      <c r="T44" s="75"/>
      <c r="U44" s="3"/>
    </row>
    <row r="45" spans="1:21">
      <c r="A45" s="25"/>
      <c r="C45" s="26"/>
      <c r="D45" s="26"/>
      <c r="E45" s="33"/>
      <c r="F45" s="4"/>
      <c r="I45" s="3"/>
      <c r="L45" s="218"/>
      <c r="M45" s="3"/>
      <c r="N45" s="3"/>
      <c r="O45" s="3"/>
      <c r="P45" s="3"/>
      <c r="Q45" s="49"/>
      <c r="R45" s="3"/>
      <c r="S45" s="3"/>
      <c r="U45" s="26"/>
    </row>
    <row r="46" spans="1:21">
      <c r="A46" s="41" t="s">
        <v>184</v>
      </c>
      <c r="B46" s="42"/>
      <c r="C46" s="31" t="s">
        <v>160</v>
      </c>
      <c r="D46" s="31"/>
      <c r="E46" s="43" t="s">
        <v>187</v>
      </c>
      <c r="F46" s="27"/>
      <c r="I46" s="15">
        <f>+I44+I40</f>
        <v>0.10624026195977324</v>
      </c>
      <c r="L46" s="941">
        <f>L40+L44</f>
        <v>0.10624026195977324</v>
      </c>
      <c r="M46" s="44"/>
      <c r="N46" s="44"/>
      <c r="O46" s="44"/>
      <c r="P46" s="3"/>
      <c r="Q46" s="49"/>
      <c r="R46" s="3"/>
      <c r="S46" s="3"/>
      <c r="U46" s="26"/>
    </row>
    <row r="47" spans="1:21">
      <c r="P47" s="51"/>
      <c r="Q47" s="51"/>
      <c r="R47" s="3"/>
      <c r="S47" s="3"/>
      <c r="U47" s="26"/>
    </row>
    <row r="48" spans="1:21">
      <c r="P48" s="51"/>
      <c r="Q48" s="51"/>
      <c r="R48" s="3"/>
      <c r="S48" s="3"/>
      <c r="U48" s="26"/>
    </row>
    <row r="49" spans="1:21">
      <c r="A49" s="52"/>
      <c r="C49" s="25"/>
      <c r="D49" s="25"/>
      <c r="E49" s="221"/>
      <c r="F49" s="221"/>
      <c r="G49" s="3"/>
      <c r="J49" s="39"/>
      <c r="P49" s="3"/>
      <c r="Q49" s="36"/>
      <c r="R49" s="53"/>
      <c r="S49" s="3"/>
      <c r="T49" s="75"/>
      <c r="U49" s="3"/>
    </row>
    <row r="50" spans="1:21">
      <c r="A50" s="364"/>
      <c r="G50" s="3"/>
      <c r="P50" s="3"/>
      <c r="Q50" s="3"/>
      <c r="R50" s="3"/>
      <c r="S50" s="3"/>
      <c r="T50" s="75"/>
      <c r="U50" s="3" t="s">
        <v>2</v>
      </c>
    </row>
    <row r="51" spans="1:21">
      <c r="Q51" s="17"/>
    </row>
    <row r="52" spans="1:21">
      <c r="Q52" s="17"/>
    </row>
    <row r="54" spans="1:21">
      <c r="A54" s="364"/>
      <c r="G54" s="3"/>
      <c r="P54" s="3"/>
      <c r="Q54" s="17"/>
      <c r="R54" s="3"/>
      <c r="S54" s="6"/>
      <c r="U54" s="26"/>
    </row>
    <row r="55" spans="1:21">
      <c r="A55" s="364"/>
      <c r="C55" s="26"/>
      <c r="D55" s="26"/>
      <c r="G55" s="221" t="str">
        <f>+G5</f>
        <v>Attachment 1</v>
      </c>
      <c r="H55" s="221"/>
      <c r="P55" s="3"/>
      <c r="Q55" s="17"/>
      <c r="R55" s="3"/>
      <c r="S55" s="219" t="s">
        <v>161</v>
      </c>
      <c r="U55" s="26"/>
    </row>
    <row r="56" spans="1:21">
      <c r="A56" s="364"/>
      <c r="C56" s="26"/>
      <c r="D56" s="26"/>
      <c r="G56" s="221" t="str">
        <f>+G6</f>
        <v>Project Revenue Requirement Worksheet</v>
      </c>
      <c r="H56" s="221"/>
      <c r="L56" s="3"/>
      <c r="M56" s="3"/>
      <c r="N56" s="3"/>
      <c r="O56" s="3"/>
      <c r="P56" s="3"/>
      <c r="R56" s="3"/>
      <c r="S56" s="6"/>
      <c r="U56" s="26"/>
    </row>
    <row r="57" spans="1:21" ht="14.25" customHeight="1">
      <c r="A57" s="364"/>
      <c r="G57" s="221" t="str">
        <f>+G7</f>
        <v>PECO Energy Company</v>
      </c>
      <c r="P57" s="3"/>
      <c r="R57" s="3"/>
      <c r="S57" s="6"/>
      <c r="U57" s="26"/>
    </row>
    <row r="58" spans="1:21">
      <c r="A58" s="364"/>
      <c r="H58" s="221"/>
      <c r="P58" s="3"/>
      <c r="Q58" s="3"/>
      <c r="R58" s="3"/>
      <c r="S58" s="6"/>
      <c r="U58" s="26"/>
    </row>
    <row r="59" spans="1:21">
      <c r="A59" s="364"/>
      <c r="E59" s="26"/>
      <c r="F59" s="26"/>
      <c r="G59" s="26"/>
      <c r="H59" s="26"/>
      <c r="I59" s="26"/>
      <c r="J59" s="26"/>
      <c r="K59" s="26"/>
      <c r="L59" s="26"/>
      <c r="M59" s="26"/>
      <c r="N59" s="26"/>
      <c r="O59" s="26"/>
      <c r="P59" s="26"/>
      <c r="Q59" s="26"/>
      <c r="R59" s="3"/>
      <c r="S59" s="6"/>
      <c r="U59" s="26"/>
    </row>
    <row r="60" spans="1:21">
      <c r="A60" s="364"/>
      <c r="E60" s="31"/>
      <c r="F60" s="31"/>
      <c r="H60" s="6"/>
      <c r="I60" s="6"/>
      <c r="J60" s="6"/>
      <c r="K60" s="6"/>
      <c r="L60" s="6"/>
      <c r="M60" s="6"/>
      <c r="N60" s="6"/>
      <c r="O60" s="6"/>
      <c r="P60" s="3"/>
      <c r="Q60" s="3"/>
      <c r="R60" s="3"/>
      <c r="S60" s="6"/>
      <c r="U60" s="26"/>
    </row>
    <row r="61" spans="1:21">
      <c r="A61" s="364"/>
      <c r="E61" s="31"/>
      <c r="F61" s="31"/>
      <c r="H61" s="6"/>
      <c r="I61" s="6"/>
      <c r="J61" s="6"/>
      <c r="K61" s="6"/>
      <c r="L61" s="6"/>
      <c r="M61" s="6"/>
      <c r="N61" s="6"/>
      <c r="O61" s="6"/>
      <c r="P61" s="3"/>
      <c r="Q61" s="3"/>
      <c r="R61" s="3"/>
      <c r="S61" s="6"/>
      <c r="U61" s="26"/>
    </row>
    <row r="62" spans="1:21">
      <c r="A62" s="364"/>
      <c r="C62" s="54">
        <v>-1</v>
      </c>
      <c r="D62" s="54">
        <v>-2</v>
      </c>
      <c r="E62" s="54">
        <v>-3</v>
      </c>
      <c r="F62" s="54">
        <v>-4</v>
      </c>
      <c r="G62" s="54">
        <v>-5</v>
      </c>
      <c r="H62" s="54">
        <v>-6</v>
      </c>
      <c r="I62" s="54">
        <v>-7</v>
      </c>
      <c r="J62" s="54">
        <v>-8</v>
      </c>
      <c r="K62" s="54">
        <v>-9</v>
      </c>
      <c r="L62" s="54">
        <v>-10</v>
      </c>
      <c r="M62" s="54">
        <v>-11</v>
      </c>
      <c r="N62" s="54">
        <v>-12</v>
      </c>
      <c r="O62" s="54" t="s">
        <v>345</v>
      </c>
      <c r="P62" s="54">
        <v>-13</v>
      </c>
      <c r="Q62" s="114" t="s">
        <v>290</v>
      </c>
      <c r="R62" s="114" t="s">
        <v>291</v>
      </c>
      <c r="S62" s="114" t="s">
        <v>312</v>
      </c>
      <c r="U62" s="26"/>
    </row>
    <row r="63" spans="1:21" ht="53.25" customHeight="1">
      <c r="A63" s="55" t="s">
        <v>162</v>
      </c>
      <c r="B63" s="56"/>
      <c r="C63" s="766" t="s">
        <v>470</v>
      </c>
      <c r="D63" s="57" t="s">
        <v>495</v>
      </c>
      <c r="E63" s="58" t="s">
        <v>163</v>
      </c>
      <c r="F63" s="58" t="s">
        <v>149</v>
      </c>
      <c r="G63" s="59" t="s">
        <v>164</v>
      </c>
      <c r="H63" s="58" t="s">
        <v>468</v>
      </c>
      <c r="I63" s="58" t="s">
        <v>160</v>
      </c>
      <c r="J63" s="59" t="s">
        <v>165</v>
      </c>
      <c r="K63" s="58" t="s">
        <v>188</v>
      </c>
      <c r="L63" s="60" t="s">
        <v>166</v>
      </c>
      <c r="M63" s="60" t="s">
        <v>190</v>
      </c>
      <c r="N63" s="60" t="s">
        <v>189</v>
      </c>
      <c r="O63" s="60" t="s">
        <v>343</v>
      </c>
      <c r="P63" s="60" t="s">
        <v>473</v>
      </c>
      <c r="Q63" s="60" t="s">
        <v>197</v>
      </c>
      <c r="R63" s="60" t="s">
        <v>167</v>
      </c>
      <c r="S63" s="60" t="s">
        <v>405</v>
      </c>
      <c r="U63" s="26"/>
    </row>
    <row r="64" spans="1:21" ht="46.5" customHeight="1">
      <c r="A64" s="61"/>
      <c r="B64" s="62"/>
      <c r="C64" s="62"/>
      <c r="D64" s="62"/>
      <c r="E64" s="63" t="s">
        <v>109</v>
      </c>
      <c r="F64" s="63" t="s">
        <v>302</v>
      </c>
      <c r="G64" s="64" t="s">
        <v>168</v>
      </c>
      <c r="H64" s="63" t="s">
        <v>341</v>
      </c>
      <c r="I64" s="63" t="s">
        <v>303</v>
      </c>
      <c r="J64" s="64" t="s">
        <v>169</v>
      </c>
      <c r="K64" s="63" t="s">
        <v>342</v>
      </c>
      <c r="L64" s="64" t="s">
        <v>170</v>
      </c>
      <c r="M64" s="63" t="s">
        <v>336</v>
      </c>
      <c r="N64" s="185" t="s">
        <v>707</v>
      </c>
      <c r="O64" s="65" t="s">
        <v>344</v>
      </c>
      <c r="P64" s="123" t="s">
        <v>315</v>
      </c>
      <c r="Q64" s="65" t="s">
        <v>313</v>
      </c>
      <c r="R64" s="66" t="s">
        <v>171</v>
      </c>
      <c r="S64" s="65" t="s">
        <v>314</v>
      </c>
      <c r="U64" s="26"/>
    </row>
    <row r="65" spans="1:21">
      <c r="A65" s="67"/>
      <c r="B65" s="6"/>
      <c r="C65" s="6"/>
      <c r="D65" s="6"/>
      <c r="E65" s="6"/>
      <c r="F65" s="6"/>
      <c r="G65" s="68"/>
      <c r="H65" s="6"/>
      <c r="I65" s="6"/>
      <c r="J65" s="68"/>
      <c r="K65" s="6"/>
      <c r="L65" s="68"/>
      <c r="M65" s="184"/>
      <c r="N65" s="68"/>
      <c r="O65" s="68"/>
      <c r="P65" s="6"/>
      <c r="Q65" s="122"/>
      <c r="R65" s="3"/>
      <c r="S65" s="69"/>
      <c r="U65" s="26"/>
    </row>
    <row r="66" spans="1:21">
      <c r="A66" s="70" t="s">
        <v>661</v>
      </c>
      <c r="B66" s="71"/>
      <c r="C66" s="71" t="s">
        <v>494</v>
      </c>
      <c r="D66" s="447" t="s">
        <v>496</v>
      </c>
      <c r="E66" s="705">
        <f>+'Attachment H-7'!I47-SUM(E67:E93)</f>
        <v>1282323610.4061537</v>
      </c>
      <c r="F66" s="15">
        <f t="shared" ref="F66:F90" si="0">$L$36</f>
        <v>5.3793229246091652E-2</v>
      </c>
      <c r="G66" s="166">
        <f t="shared" ref="G66:G70" si="1">E66*F66</f>
        <v>68980327.942254141</v>
      </c>
      <c r="H66" s="705">
        <f>+'Attachment H-7'!I67-SUM(H67:H93)</f>
        <v>820531243.54161537</v>
      </c>
      <c r="I66" s="15">
        <f>$L$46</f>
        <v>0.10624026195977324</v>
      </c>
      <c r="J66" s="166">
        <f>H66*I66</f>
        <v>87173454.260039702</v>
      </c>
      <c r="K66" s="220">
        <f>+'Attachment H-7'!I125-SUM(K67:K93)</f>
        <v>19053861.903393831</v>
      </c>
      <c r="L66" s="166">
        <f>G66+J66+K66</f>
        <v>175207644.10568768</v>
      </c>
      <c r="M66" s="706">
        <v>0</v>
      </c>
      <c r="N66" s="166">
        <f>+'2-Incentive ROE'!K$40*'1-Project Rev Req'!M66/100*H66</f>
        <v>0</v>
      </c>
      <c r="O66" s="166">
        <f>+L66+N66</f>
        <v>175207644.10568768</v>
      </c>
      <c r="P66" s="220">
        <v>0</v>
      </c>
      <c r="Q66" s="166">
        <f t="shared" ref="Q66:Q68" si="2">+L66+N66-P66</f>
        <v>175207644.10568768</v>
      </c>
      <c r="R66" s="220">
        <f>+'3-Project True-up'!K18</f>
        <v>0</v>
      </c>
      <c r="S66" s="166">
        <f>+Q66+R66</f>
        <v>175207644.10568768</v>
      </c>
    </row>
    <row r="67" spans="1:21">
      <c r="A67" s="70" t="s">
        <v>663</v>
      </c>
      <c r="B67" s="71"/>
      <c r="C67" s="703" t="s">
        <v>1179</v>
      </c>
      <c r="D67" s="604" t="s">
        <v>773</v>
      </c>
      <c r="E67" s="563">
        <v>34906891.653333329</v>
      </c>
      <c r="F67" s="15">
        <f t="shared" si="0"/>
        <v>5.3793229246091652E-2</v>
      </c>
      <c r="G67" s="166">
        <f t="shared" si="1"/>
        <v>1877754.4249762429</v>
      </c>
      <c r="H67" s="563">
        <v>15067414.916335488</v>
      </c>
      <c r="I67" s="15">
        <f t="shared" ref="I67:I90" si="3">$L$46</f>
        <v>0.10624026195977324</v>
      </c>
      <c r="J67" s="166">
        <f t="shared" ref="J67:J70" si="4">H67*I67</f>
        <v>1600766.1077680769</v>
      </c>
      <c r="K67" s="564">
        <v>355933.45728100167</v>
      </c>
      <c r="L67" s="166">
        <f t="shared" ref="L67:L70" si="5">G67+J67+K67</f>
        <v>3834453.990025322</v>
      </c>
      <c r="M67" s="566">
        <v>0</v>
      </c>
      <c r="N67" s="166">
        <f>+'2-Incentive ROE'!K$40*'1-Project Rev Req'!M67/100*H67</f>
        <v>0</v>
      </c>
      <c r="O67" s="166">
        <f>+L67+N67</f>
        <v>3834453.990025322</v>
      </c>
      <c r="P67" s="564">
        <v>0</v>
      </c>
      <c r="Q67" s="166">
        <f>+L67+N67-P67</f>
        <v>3834453.990025322</v>
      </c>
      <c r="R67" s="564">
        <f>+'3-Project True-up'!K19</f>
        <v>0</v>
      </c>
      <c r="S67" s="166">
        <f>+Q67+R67</f>
        <v>3834453.990025322</v>
      </c>
    </row>
    <row r="68" spans="1:21">
      <c r="A68" s="70" t="s">
        <v>665</v>
      </c>
      <c r="B68" s="71"/>
      <c r="C68" s="703" t="s">
        <v>1179</v>
      </c>
      <c r="D68" s="604" t="s">
        <v>773</v>
      </c>
      <c r="E68" s="563">
        <v>17453445.826666664</v>
      </c>
      <c r="F68" s="15">
        <f t="shared" si="0"/>
        <v>5.3793229246091652E-2</v>
      </c>
      <c r="G68" s="166">
        <f t="shared" si="1"/>
        <v>938877.21248812147</v>
      </c>
      <c r="H68" s="563">
        <v>30134829.832670975</v>
      </c>
      <c r="I68" s="15">
        <f t="shared" si="3"/>
        <v>0.10624026195977324</v>
      </c>
      <c r="J68" s="166">
        <f>H68*I68</f>
        <v>3201532.2155361539</v>
      </c>
      <c r="K68" s="564">
        <v>711866.91456200334</v>
      </c>
      <c r="L68" s="166">
        <f>G68+J68+K68</f>
        <v>4852276.3425862789</v>
      </c>
      <c r="M68" s="566">
        <v>0</v>
      </c>
      <c r="N68" s="166">
        <f>+'2-Incentive ROE'!K$40*'1-Project Rev Req'!M68/100*H68</f>
        <v>0</v>
      </c>
      <c r="O68" s="166">
        <f t="shared" ref="O68:O69" si="6">+L68+N68</f>
        <v>4852276.3425862789</v>
      </c>
      <c r="P68" s="564">
        <v>0</v>
      </c>
      <c r="Q68" s="166">
        <f t="shared" si="2"/>
        <v>4852276.3425862789</v>
      </c>
      <c r="R68" s="564">
        <f>+'3-Project True-up'!K20</f>
        <v>0</v>
      </c>
      <c r="S68" s="166">
        <f>+Q68+R68</f>
        <v>4852276.3425862789</v>
      </c>
    </row>
    <row r="69" spans="1:21">
      <c r="A69" s="70" t="s">
        <v>667</v>
      </c>
      <c r="B69" s="71"/>
      <c r="C69" s="703" t="s">
        <v>1180</v>
      </c>
      <c r="D69" s="604" t="s">
        <v>775</v>
      </c>
      <c r="E69" s="563">
        <v>4605740.7974999994</v>
      </c>
      <c r="F69" s="15">
        <f t="shared" si="0"/>
        <v>5.3793229246091652E-2</v>
      </c>
      <c r="G69" s="166">
        <f t="shared" si="1"/>
        <v>247757.67056799444</v>
      </c>
      <c r="H69" s="563">
        <v>4500238.5991700469</v>
      </c>
      <c r="I69" s="15">
        <f t="shared" si="3"/>
        <v>0.10624026195977324</v>
      </c>
      <c r="J69" s="166">
        <f t="shared" si="4"/>
        <v>478106.52765730873</v>
      </c>
      <c r="K69" s="564">
        <v>114847.68948656638</v>
      </c>
      <c r="L69" s="166">
        <f t="shared" si="5"/>
        <v>840711.88771186955</v>
      </c>
      <c r="M69" s="566">
        <v>0</v>
      </c>
      <c r="N69" s="166">
        <f>+'2-Incentive ROE'!K$40*'1-Project Rev Req'!M69/100*H69</f>
        <v>0</v>
      </c>
      <c r="O69" s="166">
        <f t="shared" si="6"/>
        <v>840711.88771186955</v>
      </c>
      <c r="P69" s="564">
        <v>0</v>
      </c>
      <c r="Q69" s="166">
        <f t="shared" ref="Q69:Q90" si="7">+L69+N69-P69</f>
        <v>840711.88771186955</v>
      </c>
      <c r="R69" s="564">
        <f>+'3-Project True-up'!K21</f>
        <v>0</v>
      </c>
      <c r="S69" s="166">
        <f>+Q69+R69</f>
        <v>840711.88771186955</v>
      </c>
    </row>
    <row r="70" spans="1:21">
      <c r="A70" s="70" t="s">
        <v>669</v>
      </c>
      <c r="B70" s="71"/>
      <c r="C70" s="703" t="s">
        <v>1180</v>
      </c>
      <c r="D70" s="604" t="s">
        <v>1156</v>
      </c>
      <c r="E70" s="563">
        <v>1535246.9324999999</v>
      </c>
      <c r="F70" s="15">
        <f t="shared" si="0"/>
        <v>5.3793229246091652E-2</v>
      </c>
      <c r="G70" s="166">
        <f t="shared" si="1"/>
        <v>82585.890189331491</v>
      </c>
      <c r="H70" s="563">
        <v>1500079.5330566822</v>
      </c>
      <c r="I70" s="15">
        <f t="shared" si="3"/>
        <v>0.10624026195977324</v>
      </c>
      <c r="J70" s="166">
        <f t="shared" si="4"/>
        <v>159368.84255243622</v>
      </c>
      <c r="K70" s="564">
        <v>38282.563162188795</v>
      </c>
      <c r="L70" s="166">
        <f t="shared" si="5"/>
        <v>280237.29590395652</v>
      </c>
      <c r="M70" s="566">
        <v>0</v>
      </c>
      <c r="N70" s="166">
        <f>+'2-Incentive ROE'!K$40*'1-Project Rev Req'!M70/100*H70</f>
        <v>0</v>
      </c>
      <c r="O70" s="166">
        <f t="shared" ref="O70" si="8">+L70+N70</f>
        <v>280237.29590395652</v>
      </c>
      <c r="P70" s="564">
        <v>0</v>
      </c>
      <c r="Q70" s="166">
        <f t="shared" ref="Q70" si="9">+L70+N70-P70</f>
        <v>280237.29590395652</v>
      </c>
      <c r="R70" s="564">
        <f>+'3-Project True-up'!K22</f>
        <v>0</v>
      </c>
      <c r="S70" s="166">
        <f t="shared" ref="S70:S90" si="10">+Q70+R70</f>
        <v>280237.29590395652</v>
      </c>
    </row>
    <row r="71" spans="1:21">
      <c r="A71" s="70" t="s">
        <v>671</v>
      </c>
      <c r="B71" s="71"/>
      <c r="C71" s="703" t="s">
        <v>1181</v>
      </c>
      <c r="D71" s="604" t="s">
        <v>776</v>
      </c>
      <c r="E71" s="563">
        <v>3258302.26</v>
      </c>
      <c r="F71" s="15">
        <f t="shared" si="0"/>
        <v>5.3793229246091652E-2</v>
      </c>
      <c r="G71" s="166">
        <f t="shared" ref="G71:G88" si="11">E71*F71</f>
        <v>175274.60042523852</v>
      </c>
      <c r="H71" s="563">
        <v>2807646.0540271872</v>
      </c>
      <c r="I71" s="15">
        <f t="shared" si="3"/>
        <v>0.10624026195977324</v>
      </c>
      <c r="J71" s="166">
        <f t="shared" ref="J71:J88" si="12">H71*I71</f>
        <v>298285.05227017199</v>
      </c>
      <c r="K71" s="564">
        <v>66184.774492494296</v>
      </c>
      <c r="L71" s="166">
        <f t="shared" ref="L71:L88" si="13">G71+J71+K71</f>
        <v>539744.42718790483</v>
      </c>
      <c r="M71" s="566">
        <v>0</v>
      </c>
      <c r="N71" s="166">
        <f>+'2-Incentive ROE'!K$40*'1-Project Rev Req'!M71/100*H71</f>
        <v>0</v>
      </c>
      <c r="O71" s="166">
        <f t="shared" ref="O71:O88" si="14">+L71+N71</f>
        <v>539744.42718790483</v>
      </c>
      <c r="P71" s="564">
        <v>0</v>
      </c>
      <c r="Q71" s="166">
        <f t="shared" si="7"/>
        <v>539744.42718790483</v>
      </c>
      <c r="R71" s="564">
        <f>+'3-Project True-up'!K23</f>
        <v>0</v>
      </c>
      <c r="S71" s="166">
        <f t="shared" si="10"/>
        <v>539744.42718790483</v>
      </c>
    </row>
    <row r="72" spans="1:21">
      <c r="A72" s="70" t="s">
        <v>673</v>
      </c>
      <c r="B72" s="71"/>
      <c r="C72" s="703" t="s">
        <v>1182</v>
      </c>
      <c r="D72" s="604" t="s">
        <v>777</v>
      </c>
      <c r="E72" s="563">
        <v>4456731.2700000005</v>
      </c>
      <c r="F72" s="15">
        <f t="shared" si="0"/>
        <v>5.3793229246091652E-2</v>
      </c>
      <c r="G72" s="166">
        <f t="shared" si="11"/>
        <v>239741.96689533521</v>
      </c>
      <c r="H72" s="563">
        <v>3750846.314844179</v>
      </c>
      <c r="I72" s="15">
        <f t="shared" si="3"/>
        <v>0.10624026195977324</v>
      </c>
      <c r="J72" s="166">
        <f t="shared" si="12"/>
        <v>398490.89505989564</v>
      </c>
      <c r="K72" s="564">
        <v>88418.879277138883</v>
      </c>
      <c r="L72" s="166">
        <f t="shared" si="13"/>
        <v>726651.74123236968</v>
      </c>
      <c r="M72" s="566">
        <v>0</v>
      </c>
      <c r="N72" s="166">
        <f>+'2-Incentive ROE'!K$40*'1-Project Rev Req'!M72/100*H72</f>
        <v>0</v>
      </c>
      <c r="O72" s="166">
        <f t="shared" si="14"/>
        <v>726651.74123236968</v>
      </c>
      <c r="P72" s="564">
        <v>0</v>
      </c>
      <c r="Q72" s="166">
        <f t="shared" si="7"/>
        <v>726651.74123236968</v>
      </c>
      <c r="R72" s="564">
        <f>+'3-Project True-up'!K24</f>
        <v>0</v>
      </c>
      <c r="S72" s="166">
        <f t="shared" si="10"/>
        <v>726651.74123236968</v>
      </c>
    </row>
    <row r="73" spans="1:21">
      <c r="A73" s="70" t="s">
        <v>818</v>
      </c>
      <c r="B73" s="71"/>
      <c r="C73" s="703" t="s">
        <v>1183</v>
      </c>
      <c r="D73" s="604" t="s">
        <v>1200</v>
      </c>
      <c r="E73" s="563">
        <v>13978666.729999999</v>
      </c>
      <c r="F73" s="15">
        <f t="shared" si="0"/>
        <v>5.3793229246091652E-2</v>
      </c>
      <c r="G73" s="166">
        <f t="shared" si="11"/>
        <v>751957.62396160432</v>
      </c>
      <c r="H73" s="563">
        <v>13234528.554458059</v>
      </c>
      <c r="I73" s="15">
        <f t="shared" si="3"/>
        <v>0.10624026195977324</v>
      </c>
      <c r="J73" s="166">
        <f t="shared" si="12"/>
        <v>1406039.7805397233</v>
      </c>
      <c r="K73" s="564">
        <v>343627.89218849386</v>
      </c>
      <c r="L73" s="166">
        <f t="shared" si="13"/>
        <v>2501625.2966898214</v>
      </c>
      <c r="M73" s="566">
        <v>0</v>
      </c>
      <c r="N73" s="166">
        <f>+'2-Incentive ROE'!K$40*'1-Project Rev Req'!M73/100*H73</f>
        <v>0</v>
      </c>
      <c r="O73" s="166">
        <f t="shared" si="14"/>
        <v>2501625.2966898214</v>
      </c>
      <c r="P73" s="564">
        <v>0</v>
      </c>
      <c r="Q73" s="166">
        <f t="shared" si="7"/>
        <v>2501625.2966898214</v>
      </c>
      <c r="R73" s="564">
        <f>+'3-Project True-up'!K25</f>
        <v>0</v>
      </c>
      <c r="S73" s="166">
        <f t="shared" si="10"/>
        <v>2501625.2966898214</v>
      </c>
    </row>
    <row r="74" spans="1:21">
      <c r="A74" s="70" t="s">
        <v>819</v>
      </c>
      <c r="B74" s="71"/>
      <c r="C74" s="703" t="s">
        <v>1184</v>
      </c>
      <c r="D74" s="604" t="s">
        <v>1201</v>
      </c>
      <c r="E74" s="563">
        <v>22762166.759999987</v>
      </c>
      <c r="F74" s="15">
        <f t="shared" si="0"/>
        <v>5.3793229246091652E-2</v>
      </c>
      <c r="G74" s="166">
        <f t="shared" si="11"/>
        <v>1224450.4546584466</v>
      </c>
      <c r="H74" s="563">
        <v>17350335.936907649</v>
      </c>
      <c r="I74" s="15">
        <f t="shared" si="3"/>
        <v>0.10624026195977324</v>
      </c>
      <c r="J74" s="166">
        <f t="shared" si="12"/>
        <v>1843304.2350271363</v>
      </c>
      <c r="K74" s="564">
        <v>447522.57218854141</v>
      </c>
      <c r="L74" s="166">
        <f t="shared" si="13"/>
        <v>3515277.2618741244</v>
      </c>
      <c r="M74" s="566">
        <v>0</v>
      </c>
      <c r="N74" s="166">
        <f>+'2-Incentive ROE'!K$40*'1-Project Rev Req'!M74/100*H74</f>
        <v>0</v>
      </c>
      <c r="O74" s="166">
        <f t="shared" si="14"/>
        <v>3515277.2618741244</v>
      </c>
      <c r="P74" s="564">
        <v>0</v>
      </c>
      <c r="Q74" s="166">
        <f t="shared" si="7"/>
        <v>3515277.2618741244</v>
      </c>
      <c r="R74" s="564">
        <f>+'3-Project True-up'!K26</f>
        <v>0</v>
      </c>
      <c r="S74" s="166">
        <f t="shared" si="10"/>
        <v>3515277.2618741244</v>
      </c>
    </row>
    <row r="75" spans="1:21">
      <c r="A75" s="70" t="s">
        <v>820</v>
      </c>
      <c r="B75" s="71"/>
      <c r="C75" s="703" t="s">
        <v>1185</v>
      </c>
      <c r="D75" s="604" t="s">
        <v>782</v>
      </c>
      <c r="E75" s="563">
        <v>18633213.23</v>
      </c>
      <c r="F75" s="15">
        <f t="shared" si="0"/>
        <v>5.3793229246091652E-2</v>
      </c>
      <c r="G75" s="166">
        <f t="shared" si="11"/>
        <v>1002340.7108726979</v>
      </c>
      <c r="H75" s="563">
        <v>17392174.503193375</v>
      </c>
      <c r="I75" s="15">
        <f t="shared" si="3"/>
        <v>0.10624026195977324</v>
      </c>
      <c r="J75" s="166">
        <f t="shared" si="12"/>
        <v>1847749.175269353</v>
      </c>
      <c r="K75" s="564">
        <v>529114.75157122978</v>
      </c>
      <c r="L75" s="166">
        <f t="shared" si="13"/>
        <v>3379204.6377132805</v>
      </c>
      <c r="M75" s="566">
        <v>0</v>
      </c>
      <c r="N75" s="166">
        <f>+'2-Incentive ROE'!K$40*'1-Project Rev Req'!M75/100*H75</f>
        <v>0</v>
      </c>
      <c r="O75" s="166">
        <f t="shared" si="14"/>
        <v>3379204.6377132805</v>
      </c>
      <c r="P75" s="564">
        <v>0</v>
      </c>
      <c r="Q75" s="166">
        <f t="shared" si="7"/>
        <v>3379204.6377132805</v>
      </c>
      <c r="R75" s="564">
        <f>+'3-Project True-up'!K27</f>
        <v>0</v>
      </c>
      <c r="S75" s="166">
        <f t="shared" si="10"/>
        <v>3379204.6377132805</v>
      </c>
    </row>
    <row r="76" spans="1:21">
      <c r="A76" s="70" t="s">
        <v>821</v>
      </c>
      <c r="B76" s="71"/>
      <c r="C76" s="703" t="s">
        <v>1186</v>
      </c>
      <c r="D76" s="604" t="s">
        <v>783</v>
      </c>
      <c r="E76" s="563">
        <v>17048149.039999999</v>
      </c>
      <c r="F76" s="15">
        <f t="shared" si="0"/>
        <v>5.3793229246091652E-2</v>
      </c>
      <c r="G76" s="166">
        <f t="shared" si="11"/>
        <v>917074.9895302573</v>
      </c>
      <c r="H76" s="563">
        <v>16512426.539391823</v>
      </c>
      <c r="I76" s="15">
        <f t="shared" si="3"/>
        <v>0.10624026195977324</v>
      </c>
      <c r="J76" s="166">
        <f t="shared" si="12"/>
        <v>1754284.521136499</v>
      </c>
      <c r="K76" s="564">
        <v>395391.38789458317</v>
      </c>
      <c r="L76" s="166">
        <f t="shared" si="13"/>
        <v>3066750.8985613398</v>
      </c>
      <c r="M76" s="566">
        <v>0</v>
      </c>
      <c r="N76" s="166">
        <f>+'2-Incentive ROE'!K$40*'1-Project Rev Req'!M76/100*H76</f>
        <v>0</v>
      </c>
      <c r="O76" s="166">
        <f t="shared" si="14"/>
        <v>3066750.8985613398</v>
      </c>
      <c r="P76" s="564">
        <v>0</v>
      </c>
      <c r="Q76" s="166">
        <f t="shared" si="7"/>
        <v>3066750.8985613398</v>
      </c>
      <c r="R76" s="564">
        <f>+'3-Project True-up'!K28</f>
        <v>0</v>
      </c>
      <c r="S76" s="166">
        <f t="shared" si="10"/>
        <v>3066750.8985613398</v>
      </c>
    </row>
    <row r="77" spans="1:21">
      <c r="A77" s="70" t="s">
        <v>822</v>
      </c>
      <c r="B77" s="71"/>
      <c r="C77" s="703" t="s">
        <v>1187</v>
      </c>
      <c r="D77" s="604" t="s">
        <v>784</v>
      </c>
      <c r="E77" s="563">
        <v>17950806.600000001</v>
      </c>
      <c r="F77" s="15">
        <f t="shared" si="0"/>
        <v>5.3793229246091652E-2</v>
      </c>
      <c r="G77" s="166">
        <f t="shared" si="11"/>
        <v>965631.85458605515</v>
      </c>
      <c r="H77" s="563">
        <v>16172541.560602745</v>
      </c>
      <c r="I77" s="15">
        <f t="shared" si="3"/>
        <v>0.10624026195977324</v>
      </c>
      <c r="J77" s="166">
        <f t="shared" si="12"/>
        <v>1718175.0519537556</v>
      </c>
      <c r="K77" s="564">
        <v>453711.28911268752</v>
      </c>
      <c r="L77" s="166">
        <f t="shared" si="13"/>
        <v>3137518.1956524984</v>
      </c>
      <c r="M77" s="566">
        <v>0</v>
      </c>
      <c r="N77" s="166">
        <f>+'2-Incentive ROE'!K$40*'1-Project Rev Req'!M77/100*H77</f>
        <v>0</v>
      </c>
      <c r="O77" s="166">
        <f t="shared" si="14"/>
        <v>3137518.1956524984</v>
      </c>
      <c r="P77" s="564">
        <v>0</v>
      </c>
      <c r="Q77" s="166">
        <f t="shared" si="7"/>
        <v>3137518.1956524984</v>
      </c>
      <c r="R77" s="564">
        <f>+'3-Project True-up'!K29</f>
        <v>0</v>
      </c>
      <c r="S77" s="166">
        <f t="shared" si="10"/>
        <v>3137518.1956524984</v>
      </c>
    </row>
    <row r="78" spans="1:21">
      <c r="A78" s="70" t="s">
        <v>823</v>
      </c>
      <c r="B78" s="71"/>
      <c r="C78" s="703" t="s">
        <v>1188</v>
      </c>
      <c r="D78" s="604" t="s">
        <v>785</v>
      </c>
      <c r="E78" s="563">
        <v>11220087.26</v>
      </c>
      <c r="F78" s="15">
        <f t="shared" si="0"/>
        <v>5.3793229246091652E-2</v>
      </c>
      <c r="G78" s="166">
        <f t="shared" si="11"/>
        <v>603564.72613833239</v>
      </c>
      <c r="H78" s="563">
        <v>10999561.491683584</v>
      </c>
      <c r="I78" s="15">
        <f t="shared" si="3"/>
        <v>0.10624026195977324</v>
      </c>
      <c r="J78" s="166">
        <f t="shared" si="12"/>
        <v>1168596.2943190979</v>
      </c>
      <c r="K78" s="564">
        <v>267026.85503862542</v>
      </c>
      <c r="L78" s="166">
        <f t="shared" si="13"/>
        <v>2039187.8754960557</v>
      </c>
      <c r="M78" s="566">
        <v>0</v>
      </c>
      <c r="N78" s="166">
        <f>+'2-Incentive ROE'!K$40*'1-Project Rev Req'!M78/100*H78</f>
        <v>0</v>
      </c>
      <c r="O78" s="166">
        <f t="shared" si="14"/>
        <v>2039187.8754960557</v>
      </c>
      <c r="P78" s="564">
        <v>0</v>
      </c>
      <c r="Q78" s="166">
        <f t="shared" si="7"/>
        <v>2039187.8754960557</v>
      </c>
      <c r="R78" s="564">
        <f>+'3-Project True-up'!K30</f>
        <v>0</v>
      </c>
      <c r="S78" s="166">
        <f t="shared" si="10"/>
        <v>2039187.8754960557</v>
      </c>
    </row>
    <row r="79" spans="1:21">
      <c r="A79" s="219" t="s">
        <v>1170</v>
      </c>
      <c r="B79" s="71"/>
      <c r="C79" s="703" t="s">
        <v>1189</v>
      </c>
      <c r="D79" s="604" t="s">
        <v>786</v>
      </c>
      <c r="E79" s="563">
        <v>8362589.580000001</v>
      </c>
      <c r="F79" s="15">
        <f t="shared" si="0"/>
        <v>5.3793229246091652E-2</v>
      </c>
      <c r="G79" s="166">
        <f t="shared" si="11"/>
        <v>449850.69836791739</v>
      </c>
      <c r="H79" s="563">
        <v>7516696.8351799911</v>
      </c>
      <c r="I79" s="15">
        <f t="shared" si="3"/>
        <v>0.10624026195977324</v>
      </c>
      <c r="J79" s="166">
        <f t="shared" si="12"/>
        <v>798575.8408417207</v>
      </c>
      <c r="K79" s="564">
        <v>177317.00199093757</v>
      </c>
      <c r="L79" s="166">
        <f t="shared" si="13"/>
        <v>1425743.5412005757</v>
      </c>
      <c r="M79" s="566">
        <v>0</v>
      </c>
      <c r="N79" s="166">
        <f>+'2-Incentive ROE'!K$40*'1-Project Rev Req'!M79/100*H79</f>
        <v>0</v>
      </c>
      <c r="O79" s="166">
        <f t="shared" si="14"/>
        <v>1425743.5412005757</v>
      </c>
      <c r="P79" s="564">
        <v>0</v>
      </c>
      <c r="Q79" s="166">
        <f t="shared" si="7"/>
        <v>1425743.5412005757</v>
      </c>
      <c r="R79" s="564">
        <f>+'3-Project True-up'!K31</f>
        <v>0</v>
      </c>
      <c r="S79" s="166">
        <f t="shared" si="10"/>
        <v>1425743.5412005757</v>
      </c>
    </row>
    <row r="80" spans="1:21">
      <c r="A80" s="70" t="s">
        <v>824</v>
      </c>
      <c r="B80" s="71"/>
      <c r="C80" s="703" t="s">
        <v>1190</v>
      </c>
      <c r="D80" s="604" t="s">
        <v>787</v>
      </c>
      <c r="E80" s="563">
        <v>1712754.31</v>
      </c>
      <c r="F80" s="15">
        <f t="shared" si="0"/>
        <v>5.3793229246091652E-2</v>
      </c>
      <c r="G80" s="166">
        <f t="shared" si="11"/>
        <v>92134.585240061526</v>
      </c>
      <c r="H80" s="563">
        <v>1623129.2593855299</v>
      </c>
      <c r="I80" s="15">
        <f t="shared" si="3"/>
        <v>0.10624026195977324</v>
      </c>
      <c r="J80" s="166">
        <f t="shared" si="12"/>
        <v>172441.67771169142</v>
      </c>
      <c r="K80" s="564">
        <v>38262.103533496287</v>
      </c>
      <c r="L80" s="166">
        <f t="shared" si="13"/>
        <v>302838.36648524919</v>
      </c>
      <c r="M80" s="566">
        <v>0</v>
      </c>
      <c r="N80" s="166">
        <f>+'2-Incentive ROE'!K$40*'1-Project Rev Req'!M80/100*H80</f>
        <v>0</v>
      </c>
      <c r="O80" s="166">
        <f t="shared" si="14"/>
        <v>302838.36648524919</v>
      </c>
      <c r="P80" s="564">
        <v>0</v>
      </c>
      <c r="Q80" s="166">
        <f t="shared" si="7"/>
        <v>302838.36648524919</v>
      </c>
      <c r="R80" s="564">
        <f>+'3-Project True-up'!K32</f>
        <v>0</v>
      </c>
      <c r="S80" s="166">
        <f t="shared" si="10"/>
        <v>302838.36648524919</v>
      </c>
    </row>
    <row r="81" spans="1:19">
      <c r="A81" s="70" t="s">
        <v>825</v>
      </c>
      <c r="B81" s="71"/>
      <c r="C81" s="703" t="s">
        <v>1191</v>
      </c>
      <c r="D81" s="604" t="s">
        <v>788</v>
      </c>
      <c r="E81" s="563">
        <v>2229231.87</v>
      </c>
      <c r="F81" s="15">
        <f t="shared" si="0"/>
        <v>5.3793229246091652E-2</v>
      </c>
      <c r="G81" s="166">
        <f t="shared" si="11"/>
        <v>119917.58102560359</v>
      </c>
      <c r="H81" s="563">
        <v>1919534.8254381074</v>
      </c>
      <c r="I81" s="15">
        <f t="shared" si="3"/>
        <v>0.10624026195977324</v>
      </c>
      <c r="J81" s="166">
        <f t="shared" si="12"/>
        <v>203931.88269545211</v>
      </c>
      <c r="K81" s="564">
        <v>54159.653282920524</v>
      </c>
      <c r="L81" s="166">
        <f t="shared" si="13"/>
        <v>378009.11700397625</v>
      </c>
      <c r="M81" s="566">
        <v>0</v>
      </c>
      <c r="N81" s="166">
        <f>+'2-Incentive ROE'!K$40*'1-Project Rev Req'!M81/100*H81</f>
        <v>0</v>
      </c>
      <c r="O81" s="166">
        <f t="shared" si="14"/>
        <v>378009.11700397625</v>
      </c>
      <c r="P81" s="564">
        <v>0</v>
      </c>
      <c r="Q81" s="166">
        <f t="shared" si="7"/>
        <v>378009.11700397625</v>
      </c>
      <c r="R81" s="564">
        <f>+'3-Project True-up'!K33</f>
        <v>0</v>
      </c>
      <c r="S81" s="166">
        <f t="shared" si="10"/>
        <v>378009.11700397625</v>
      </c>
    </row>
    <row r="82" spans="1:19">
      <c r="A82" s="70" t="s">
        <v>826</v>
      </c>
      <c r="B82" s="71"/>
      <c r="C82" s="703" t="s">
        <v>1192</v>
      </c>
      <c r="D82" s="604" t="s">
        <v>789</v>
      </c>
      <c r="E82" s="563">
        <v>2546903.0099999998</v>
      </c>
      <c r="F82" s="15">
        <f t="shared" si="0"/>
        <v>5.3793229246091652E-2</v>
      </c>
      <c r="G82" s="166">
        <f t="shared" si="11"/>
        <v>137006.13748449084</v>
      </c>
      <c r="H82" s="563">
        <v>2122546.9650957976</v>
      </c>
      <c r="I82" s="15">
        <f t="shared" si="3"/>
        <v>0.10624026195977324</v>
      </c>
      <c r="J82" s="166">
        <f t="shared" si="12"/>
        <v>225499.9455936992</v>
      </c>
      <c r="K82" s="564">
        <v>59887.638495991538</v>
      </c>
      <c r="L82" s="166">
        <f t="shared" si="13"/>
        <v>422393.72157418157</v>
      </c>
      <c r="M82" s="566">
        <v>0</v>
      </c>
      <c r="N82" s="166">
        <f>+'2-Incentive ROE'!K$40*'1-Project Rev Req'!M82/100*H82</f>
        <v>0</v>
      </c>
      <c r="O82" s="166">
        <f t="shared" si="14"/>
        <v>422393.72157418157</v>
      </c>
      <c r="P82" s="564">
        <v>0</v>
      </c>
      <c r="Q82" s="166">
        <f t="shared" si="7"/>
        <v>422393.72157418157</v>
      </c>
      <c r="R82" s="564">
        <f>+'3-Project True-up'!K34</f>
        <v>0</v>
      </c>
      <c r="S82" s="166">
        <f t="shared" si="10"/>
        <v>422393.72157418157</v>
      </c>
    </row>
    <row r="83" spans="1:19">
      <c r="A83" s="70" t="s">
        <v>827</v>
      </c>
      <c r="B83" s="71"/>
      <c r="C83" s="703" t="s">
        <v>1190</v>
      </c>
      <c r="D83" s="604" t="s">
        <v>790</v>
      </c>
      <c r="E83" s="563">
        <v>2359200.13</v>
      </c>
      <c r="F83" s="15">
        <f t="shared" si="0"/>
        <v>5.3793229246091652E-2</v>
      </c>
      <c r="G83" s="166">
        <f t="shared" si="11"/>
        <v>126908.99343049922</v>
      </c>
      <c r="H83" s="563">
        <v>2214367.1856020871</v>
      </c>
      <c r="I83" s="15">
        <f t="shared" si="3"/>
        <v>0.10624026195977324</v>
      </c>
      <c r="J83" s="166">
        <f t="shared" si="12"/>
        <v>235254.94987349154</v>
      </c>
      <c r="K83" s="564">
        <v>52199.38339892833</v>
      </c>
      <c r="L83" s="166">
        <f t="shared" si="13"/>
        <v>414363.32670291909</v>
      </c>
      <c r="M83" s="566">
        <v>0</v>
      </c>
      <c r="N83" s="166">
        <f>+'2-Incentive ROE'!K$40*'1-Project Rev Req'!M83/100*H83</f>
        <v>0</v>
      </c>
      <c r="O83" s="166">
        <f t="shared" si="14"/>
        <v>414363.32670291909</v>
      </c>
      <c r="P83" s="564">
        <v>0</v>
      </c>
      <c r="Q83" s="166">
        <f t="shared" si="7"/>
        <v>414363.32670291909</v>
      </c>
      <c r="R83" s="564">
        <f>+'3-Project True-up'!K35</f>
        <v>0</v>
      </c>
      <c r="S83" s="166">
        <f t="shared" si="10"/>
        <v>414363.32670291909</v>
      </c>
    </row>
    <row r="84" spans="1:19">
      <c r="A84" s="70" t="s">
        <v>828</v>
      </c>
      <c r="B84" s="71"/>
      <c r="C84" s="703" t="s">
        <v>1193</v>
      </c>
      <c r="D84" s="604" t="s">
        <v>791</v>
      </c>
      <c r="E84" s="563">
        <v>3631395.7</v>
      </c>
      <c r="F84" s="15">
        <f t="shared" si="0"/>
        <v>5.3793229246091652E-2</v>
      </c>
      <c r="G84" s="166">
        <f t="shared" si="11"/>
        <v>195344.50137337149</v>
      </c>
      <c r="H84" s="563">
        <v>2813756.6438120897</v>
      </c>
      <c r="I84" s="15">
        <f t="shared" si="3"/>
        <v>0.10624026195977324</v>
      </c>
      <c r="J84" s="166">
        <f t="shared" si="12"/>
        <v>298934.24292964878</v>
      </c>
      <c r="K84" s="564">
        <v>66328.819717265331</v>
      </c>
      <c r="L84" s="166">
        <f t="shared" si="13"/>
        <v>560607.56402028562</v>
      </c>
      <c r="M84" s="566">
        <v>0</v>
      </c>
      <c r="N84" s="166">
        <f>+'2-Incentive ROE'!K$40*'1-Project Rev Req'!M84/100*H84</f>
        <v>0</v>
      </c>
      <c r="O84" s="166">
        <f t="shared" si="14"/>
        <v>560607.56402028562</v>
      </c>
      <c r="P84" s="564">
        <v>0</v>
      </c>
      <c r="Q84" s="166">
        <f t="shared" si="7"/>
        <v>560607.56402028562</v>
      </c>
      <c r="R84" s="564">
        <f>+'3-Project True-up'!K36</f>
        <v>0</v>
      </c>
      <c r="S84" s="166">
        <f t="shared" si="10"/>
        <v>560607.56402028562</v>
      </c>
    </row>
    <row r="85" spans="1:19">
      <c r="A85" s="219" t="s">
        <v>1171</v>
      </c>
      <c r="B85" s="71"/>
      <c r="C85" s="703" t="s">
        <v>1194</v>
      </c>
      <c r="D85" s="604" t="s">
        <v>792</v>
      </c>
      <c r="E85" s="563">
        <v>4811873.2300000004</v>
      </c>
      <c r="F85" s="15">
        <f t="shared" si="0"/>
        <v>5.3793229246091652E-2</v>
      </c>
      <c r="G85" s="166">
        <f t="shared" si="11"/>
        <v>258846.19976452153</v>
      </c>
      <c r="H85" s="563">
        <v>3831027.5178891248</v>
      </c>
      <c r="I85" s="15">
        <f t="shared" si="3"/>
        <v>0.10624026195977324</v>
      </c>
      <c r="J85" s="166">
        <f t="shared" si="12"/>
        <v>407009.36707564048</v>
      </c>
      <c r="K85" s="564">
        <v>90308.994605050248</v>
      </c>
      <c r="L85" s="166">
        <f t="shared" si="13"/>
        <v>756164.56144521222</v>
      </c>
      <c r="M85" s="566">
        <v>0</v>
      </c>
      <c r="N85" s="166">
        <f>+'2-Incentive ROE'!K$40*'1-Project Rev Req'!M85/100*H85</f>
        <v>0</v>
      </c>
      <c r="O85" s="166">
        <f t="shared" si="14"/>
        <v>756164.56144521222</v>
      </c>
      <c r="P85" s="564">
        <v>0</v>
      </c>
      <c r="Q85" s="166">
        <f t="shared" si="7"/>
        <v>756164.56144521222</v>
      </c>
      <c r="R85" s="564">
        <f>+'3-Project True-up'!K37</f>
        <v>0</v>
      </c>
      <c r="S85" s="166">
        <f t="shared" si="10"/>
        <v>756164.56144521222</v>
      </c>
    </row>
    <row r="86" spans="1:19">
      <c r="A86" s="70" t="s">
        <v>829</v>
      </c>
      <c r="B86" s="71"/>
      <c r="C86" s="703" t="s">
        <v>1195</v>
      </c>
      <c r="D86" s="604" t="s">
        <v>794</v>
      </c>
      <c r="E86" s="563">
        <v>2699443.66</v>
      </c>
      <c r="F86" s="15">
        <f t="shared" si="0"/>
        <v>5.3793229246091652E-2</v>
      </c>
      <c r="G86" s="166">
        <f t="shared" si="11"/>
        <v>145211.79163928868</v>
      </c>
      <c r="H86" s="563">
        <v>2183668.377301807</v>
      </c>
      <c r="I86" s="15">
        <f t="shared" si="3"/>
        <v>0.10624026195977324</v>
      </c>
      <c r="J86" s="166">
        <f t="shared" si="12"/>
        <v>231993.50043781693</v>
      </c>
      <c r="K86" s="564">
        <v>51475.718925043511</v>
      </c>
      <c r="L86" s="166">
        <f t="shared" si="13"/>
        <v>428681.01100214914</v>
      </c>
      <c r="M86" s="566">
        <v>0</v>
      </c>
      <c r="N86" s="166">
        <f>+'2-Incentive ROE'!K$40*'1-Project Rev Req'!M86/100*H86</f>
        <v>0</v>
      </c>
      <c r="O86" s="166">
        <f t="shared" si="14"/>
        <v>428681.01100214914</v>
      </c>
      <c r="P86" s="564">
        <v>0</v>
      </c>
      <c r="Q86" s="166">
        <f t="shared" si="7"/>
        <v>428681.01100214914</v>
      </c>
      <c r="R86" s="564">
        <f>+'3-Project True-up'!K38</f>
        <v>0</v>
      </c>
      <c r="S86" s="166">
        <f t="shared" si="10"/>
        <v>428681.01100214914</v>
      </c>
    </row>
    <row r="87" spans="1:19">
      <c r="A87" s="70" t="s">
        <v>830</v>
      </c>
      <c r="B87" s="71"/>
      <c r="C87" s="703" t="s">
        <v>1196</v>
      </c>
      <c r="D87" s="604" t="s">
        <v>1202</v>
      </c>
      <c r="E87" s="563">
        <v>2221241.1800000002</v>
      </c>
      <c r="F87" s="15">
        <f t="shared" si="0"/>
        <v>5.3793229246091652E-2</v>
      </c>
      <c r="G87" s="166">
        <f t="shared" si="11"/>
        <v>119487.73600659914</v>
      </c>
      <c r="H87" s="563">
        <v>1780354.8316051157</v>
      </c>
      <c r="I87" s="15">
        <f t="shared" si="3"/>
        <v>0.10624026195977324</v>
      </c>
      <c r="J87" s="166">
        <f t="shared" si="12"/>
        <v>189145.36369107544</v>
      </c>
      <c r="K87" s="564">
        <v>50232.691338797718</v>
      </c>
      <c r="L87" s="166">
        <f t="shared" si="13"/>
        <v>358865.79103647231</v>
      </c>
      <c r="M87" s="566">
        <v>0</v>
      </c>
      <c r="N87" s="166">
        <f>+'2-Incentive ROE'!K$40*'1-Project Rev Req'!M87/100*H87</f>
        <v>0</v>
      </c>
      <c r="O87" s="166">
        <f t="shared" si="14"/>
        <v>358865.79103647231</v>
      </c>
      <c r="P87" s="564">
        <v>0</v>
      </c>
      <c r="Q87" s="166">
        <f t="shared" si="7"/>
        <v>358865.79103647231</v>
      </c>
      <c r="R87" s="564">
        <f>+'3-Project True-up'!K39</f>
        <v>0</v>
      </c>
      <c r="S87" s="166">
        <f t="shared" si="10"/>
        <v>358865.79103647231</v>
      </c>
    </row>
    <row r="88" spans="1:19">
      <c r="A88" s="70" t="s">
        <v>831</v>
      </c>
      <c r="B88" s="71"/>
      <c r="C88" s="703" t="s">
        <v>1197</v>
      </c>
      <c r="D88" s="604" t="s">
        <v>796</v>
      </c>
      <c r="E88" s="563">
        <v>1723078.3099999996</v>
      </c>
      <c r="F88" s="15">
        <f t="shared" si="0"/>
        <v>5.3793229246091652E-2</v>
      </c>
      <c r="G88" s="166">
        <f t="shared" si="11"/>
        <v>92689.946538798162</v>
      </c>
      <c r="H88" s="563">
        <v>2000885.8961523327</v>
      </c>
      <c r="I88" s="15">
        <f t="shared" si="3"/>
        <v>0.10624026195977324</v>
      </c>
      <c r="J88" s="166">
        <f t="shared" si="12"/>
        <v>212574.64175883945</v>
      </c>
      <c r="K88" s="564">
        <v>61108.142677765478</v>
      </c>
      <c r="L88" s="166">
        <f t="shared" si="13"/>
        <v>366372.7309754031</v>
      </c>
      <c r="M88" s="566">
        <v>0</v>
      </c>
      <c r="N88" s="166">
        <f>+'2-Incentive ROE'!K$40*'1-Project Rev Req'!M88/100*H88</f>
        <v>0</v>
      </c>
      <c r="O88" s="166">
        <f t="shared" si="14"/>
        <v>366372.7309754031</v>
      </c>
      <c r="P88" s="564">
        <v>0</v>
      </c>
      <c r="Q88" s="166">
        <f t="shared" si="7"/>
        <v>366372.7309754031</v>
      </c>
      <c r="R88" s="564">
        <f>+'3-Project True-up'!K40</f>
        <v>0</v>
      </c>
      <c r="S88" s="166">
        <f t="shared" si="10"/>
        <v>366372.7309754031</v>
      </c>
    </row>
    <row r="89" spans="1:19">
      <c r="A89" s="70" t="s">
        <v>832</v>
      </c>
      <c r="B89" s="71"/>
      <c r="C89" s="703" t="s">
        <v>1198</v>
      </c>
      <c r="D89" s="604" t="s">
        <v>774</v>
      </c>
      <c r="E89" s="563">
        <v>5325224.6099999975</v>
      </c>
      <c r="F89" s="15">
        <f t="shared" si="0"/>
        <v>5.3793229246091652E-2</v>
      </c>
      <c r="G89" s="166">
        <f t="shared" ref="G89:G90" si="15">E89*F89</f>
        <v>286461.02823265886</v>
      </c>
      <c r="H89" s="563">
        <v>4823470.2165515088</v>
      </c>
      <c r="I89" s="15">
        <f t="shared" si="3"/>
        <v>0.10624026195977324</v>
      </c>
      <c r="J89" s="166">
        <f t="shared" ref="J89:J90" si="16">H89*I89</f>
        <v>512446.73936159641</v>
      </c>
      <c r="K89" s="564">
        <v>113703.89372827722</v>
      </c>
      <c r="L89" s="166">
        <f t="shared" ref="L89:L90" si="17">G89+J89+K89</f>
        <v>912611.66132253245</v>
      </c>
      <c r="M89" s="566">
        <v>0</v>
      </c>
      <c r="N89" s="166">
        <f>+'2-Incentive ROE'!K$40*'1-Project Rev Req'!M89/100*H89</f>
        <v>0</v>
      </c>
      <c r="O89" s="166">
        <f t="shared" ref="O89:O90" si="18">+L89+N89</f>
        <v>912611.66132253245</v>
      </c>
      <c r="P89" s="564">
        <v>0</v>
      </c>
      <c r="Q89" s="166">
        <f t="shared" si="7"/>
        <v>912611.66132253245</v>
      </c>
      <c r="R89" s="564">
        <f>+'3-Project True-up'!K41</f>
        <v>0</v>
      </c>
      <c r="S89" s="166">
        <f t="shared" si="10"/>
        <v>912611.66132253245</v>
      </c>
    </row>
    <row r="90" spans="1:19">
      <c r="A90" s="70" t="s">
        <v>833</v>
      </c>
      <c r="C90" s="703" t="s">
        <v>1199</v>
      </c>
      <c r="D90" s="604" t="s">
        <v>793</v>
      </c>
      <c r="E90" s="563">
        <v>4315230.49</v>
      </c>
      <c r="F90" s="15">
        <f t="shared" si="0"/>
        <v>5.3793229246091652E-2</v>
      </c>
      <c r="G90" s="166">
        <f t="shared" si="15"/>
        <v>232130.18299829442</v>
      </c>
      <c r="H90" s="563">
        <v>3435619.7603369053</v>
      </c>
      <c r="I90" s="15">
        <f t="shared" si="3"/>
        <v>0.10624026195977324</v>
      </c>
      <c r="J90" s="166">
        <f t="shared" si="16"/>
        <v>365001.14333236613</v>
      </c>
      <c r="K90" s="564">
        <v>80988.02865614109</v>
      </c>
      <c r="L90" s="166">
        <f t="shared" si="17"/>
        <v>678119.35498680174</v>
      </c>
      <c r="M90" s="566">
        <v>0</v>
      </c>
      <c r="N90" s="166">
        <f>+'2-Incentive ROE'!K$40*'1-Project Rev Req'!M90/100*H90</f>
        <v>0</v>
      </c>
      <c r="O90" s="166">
        <f t="shared" si="18"/>
        <v>678119.35498680174</v>
      </c>
      <c r="P90" s="564">
        <v>0</v>
      </c>
      <c r="Q90" s="166">
        <f t="shared" si="7"/>
        <v>678119.35498680174</v>
      </c>
      <c r="R90" s="564">
        <f>+'3-Project True-up'!K42</f>
        <v>0</v>
      </c>
      <c r="S90" s="166">
        <f t="shared" si="10"/>
        <v>678119.35498680174</v>
      </c>
    </row>
    <row r="91" spans="1:19">
      <c r="A91" s="70"/>
      <c r="C91" s="605"/>
      <c r="D91" s="604"/>
      <c r="E91" s="563"/>
      <c r="F91" s="15"/>
      <c r="G91" s="72"/>
      <c r="H91" s="606"/>
      <c r="I91" s="15"/>
      <c r="J91" s="166"/>
      <c r="K91" s="607"/>
      <c r="L91" s="166"/>
      <c r="M91" s="566"/>
      <c r="N91" s="166"/>
      <c r="O91" s="166"/>
      <c r="P91" s="564"/>
      <c r="Q91" s="166"/>
      <c r="R91" s="564"/>
      <c r="S91" s="166"/>
    </row>
    <row r="92" spans="1:19">
      <c r="A92" s="73"/>
      <c r="C92" s="561"/>
      <c r="D92" s="561"/>
      <c r="E92" s="563"/>
      <c r="F92" s="15"/>
      <c r="G92" s="72"/>
      <c r="H92" s="563"/>
      <c r="I92" s="15"/>
      <c r="J92" s="166"/>
      <c r="K92" s="564"/>
      <c r="L92" s="166"/>
      <c r="M92" s="566"/>
      <c r="N92" s="166"/>
      <c r="O92" s="166"/>
      <c r="P92" s="564"/>
      <c r="Q92" s="166"/>
      <c r="R92" s="564"/>
      <c r="S92" s="166"/>
    </row>
    <row r="93" spans="1:19">
      <c r="A93" s="73"/>
      <c r="C93" s="561"/>
      <c r="D93" s="561"/>
      <c r="E93" s="563"/>
      <c r="F93" s="15"/>
      <c r="G93" s="72"/>
      <c r="H93" s="563"/>
      <c r="I93" s="15"/>
      <c r="J93" s="166"/>
      <c r="K93" s="564"/>
      <c r="L93" s="166"/>
      <c r="M93" s="566"/>
      <c r="N93" s="166"/>
      <c r="O93" s="166"/>
      <c r="P93" s="564"/>
      <c r="Q93" s="166"/>
      <c r="R93" s="564"/>
      <c r="S93" s="166"/>
    </row>
    <row r="94" spans="1:19">
      <c r="A94" s="74"/>
      <c r="B94" s="13"/>
      <c r="C94" s="562"/>
      <c r="D94" s="562"/>
      <c r="E94" s="562"/>
      <c r="F94" s="13"/>
      <c r="G94" s="14"/>
      <c r="H94" s="562"/>
      <c r="I94" s="13"/>
      <c r="J94" s="167"/>
      <c r="K94" s="565"/>
      <c r="L94" s="167"/>
      <c r="M94" s="567"/>
      <c r="N94" s="228"/>
      <c r="O94" s="228"/>
      <c r="P94" s="568"/>
      <c r="Q94" s="228"/>
      <c r="R94" s="565"/>
      <c r="S94" s="167"/>
    </row>
    <row r="95" spans="1:19">
      <c r="A95" s="41" t="s">
        <v>258</v>
      </c>
      <c r="B95" s="46"/>
      <c r="C95" s="26" t="s">
        <v>173</v>
      </c>
      <c r="D95" s="26"/>
      <c r="E95" s="220">
        <f>SUM(E66:E94)</f>
        <v>1492071224.8461533</v>
      </c>
      <c r="F95" s="221"/>
      <c r="G95" s="3"/>
      <c r="H95" s="220">
        <f t="shared" ref="H95:S95" si="19">SUM(H66:H94)</f>
        <v>1006218925.6923077</v>
      </c>
      <c r="I95" s="3"/>
      <c r="J95" s="220">
        <f t="shared" si="19"/>
        <v>106900962.25443235</v>
      </c>
      <c r="K95" s="220">
        <f>SUM(K66:K94)</f>
        <v>23761762.999999996</v>
      </c>
      <c r="L95" s="220">
        <f t="shared" si="19"/>
        <v>210926054.7040782</v>
      </c>
      <c r="M95" s="220"/>
      <c r="N95" s="220">
        <f t="shared" si="19"/>
        <v>0</v>
      </c>
      <c r="O95" s="220">
        <f t="shared" si="19"/>
        <v>210926054.7040782</v>
      </c>
      <c r="P95" s="220">
        <f t="shared" si="19"/>
        <v>0</v>
      </c>
      <c r="Q95" s="220">
        <f t="shared" si="19"/>
        <v>210926054.7040782</v>
      </c>
      <c r="R95" s="220">
        <f t="shared" si="19"/>
        <v>0</v>
      </c>
      <c r="S95" s="220">
        <f t="shared" si="19"/>
        <v>210926054.7040782</v>
      </c>
    </row>
    <row r="96" spans="1:19">
      <c r="E96" s="220"/>
      <c r="F96" s="220"/>
      <c r="G96" s="220"/>
      <c r="H96" s="220"/>
      <c r="I96" s="220"/>
      <c r="J96" s="220"/>
      <c r="K96" s="220"/>
      <c r="L96" s="15"/>
    </row>
    <row r="97" spans="1:20">
      <c r="A97" s="76"/>
      <c r="E97" s="220"/>
      <c r="F97" s="220"/>
      <c r="G97" s="220"/>
      <c r="H97" s="220"/>
      <c r="I97" s="220"/>
      <c r="J97" s="220"/>
      <c r="K97" s="220"/>
      <c r="L97" s="15"/>
      <c r="M97" s="50"/>
      <c r="N97" s="50"/>
      <c r="O97" s="50"/>
      <c r="T97" s="220">
        <f>+'Attachment H-7'!I11</f>
        <v>210926054.70407829</v>
      </c>
    </row>
    <row r="98" spans="1:20">
      <c r="K98" s="16"/>
      <c r="L98" s="16"/>
      <c r="M98" s="16"/>
      <c r="N98" s="16"/>
      <c r="O98" s="16"/>
      <c r="T98" s="220">
        <f>+S95</f>
        <v>210926054.7040782</v>
      </c>
    </row>
    <row r="99" spans="1:20">
      <c r="K99" s="16"/>
      <c r="L99" s="16"/>
      <c r="M99" s="16"/>
      <c r="N99" s="16"/>
      <c r="O99" s="16"/>
      <c r="T99" s="220">
        <f>+T97-T98</f>
        <v>0</v>
      </c>
    </row>
    <row r="100" spans="1:20">
      <c r="A100" s="219" t="s">
        <v>61</v>
      </c>
    </row>
    <row r="101" spans="1:20" ht="13.5" thickBot="1">
      <c r="A101" s="77" t="s">
        <v>62</v>
      </c>
    </row>
    <row r="102" spans="1:20">
      <c r="A102" s="78" t="s">
        <v>63</v>
      </c>
      <c r="C102" s="978" t="s">
        <v>403</v>
      </c>
      <c r="D102" s="978"/>
      <c r="E102" s="978"/>
      <c r="F102" s="978"/>
      <c r="G102" s="978"/>
      <c r="H102" s="978"/>
      <c r="I102" s="978"/>
      <c r="J102" s="978"/>
      <c r="K102" s="978"/>
      <c r="L102" s="978"/>
      <c r="M102" s="978"/>
      <c r="N102" s="978"/>
      <c r="O102" s="978"/>
      <c r="P102" s="978"/>
      <c r="Q102" s="978"/>
    </row>
    <row r="103" spans="1:20">
      <c r="A103" s="78" t="s">
        <v>64</v>
      </c>
      <c r="C103" s="978" t="s">
        <v>386</v>
      </c>
      <c r="D103" s="978"/>
      <c r="E103" s="978"/>
      <c r="F103" s="978"/>
      <c r="G103" s="978"/>
      <c r="H103" s="978"/>
      <c r="I103" s="978"/>
      <c r="J103" s="978"/>
      <c r="K103" s="978"/>
      <c r="L103" s="978"/>
      <c r="M103" s="978"/>
      <c r="N103" s="978"/>
      <c r="O103" s="978"/>
      <c r="P103" s="978"/>
      <c r="Q103" s="978"/>
    </row>
    <row r="104" spans="1:20">
      <c r="A104" s="78" t="s">
        <v>65</v>
      </c>
      <c r="C104" s="979" t="s">
        <v>393</v>
      </c>
      <c r="D104" s="979"/>
      <c r="E104" s="979"/>
      <c r="F104" s="979"/>
      <c r="G104" s="979"/>
      <c r="H104" s="979"/>
      <c r="I104" s="979"/>
      <c r="J104" s="979"/>
      <c r="K104" s="979"/>
      <c r="L104" s="979"/>
      <c r="M104" s="979"/>
      <c r="N104" s="979"/>
      <c r="O104" s="979"/>
      <c r="P104" s="979"/>
      <c r="Q104" s="979"/>
    </row>
    <row r="105" spans="1:20">
      <c r="C105" s="219" t="s">
        <v>387</v>
      </c>
    </row>
    <row r="106" spans="1:20">
      <c r="A106" s="78" t="s">
        <v>66</v>
      </c>
      <c r="C106" s="979" t="s">
        <v>445</v>
      </c>
      <c r="D106" s="979"/>
      <c r="E106" s="979"/>
      <c r="F106" s="979"/>
      <c r="G106" s="979"/>
      <c r="H106" s="979"/>
      <c r="I106" s="979"/>
      <c r="J106" s="979"/>
      <c r="K106" s="979"/>
      <c r="L106" s="979"/>
      <c r="M106" s="979"/>
      <c r="N106" s="979"/>
      <c r="O106" s="979"/>
      <c r="P106" s="979"/>
      <c r="Q106" s="979"/>
    </row>
    <row r="107" spans="1:20">
      <c r="A107" s="221" t="s">
        <v>67</v>
      </c>
      <c r="C107" s="977" t="s">
        <v>949</v>
      </c>
      <c r="D107" s="977"/>
      <c r="E107" s="977"/>
      <c r="F107" s="977"/>
      <c r="G107" s="977"/>
      <c r="H107" s="977"/>
      <c r="I107" s="977"/>
      <c r="J107" s="977"/>
      <c r="K107" s="977"/>
      <c r="L107" s="977"/>
      <c r="M107" s="977"/>
      <c r="N107" s="977"/>
      <c r="O107" s="977"/>
      <c r="P107" s="977"/>
      <c r="Q107" s="977"/>
    </row>
    <row r="108" spans="1:20">
      <c r="A108" s="221" t="s">
        <v>68</v>
      </c>
      <c r="C108" s="977" t="s">
        <v>459</v>
      </c>
      <c r="D108" s="977"/>
      <c r="E108" s="977"/>
      <c r="F108" s="977"/>
      <c r="G108" s="977"/>
      <c r="H108" s="977"/>
      <c r="I108" s="977"/>
      <c r="J108" s="977"/>
      <c r="K108" s="977"/>
      <c r="L108" s="977"/>
      <c r="M108" s="977"/>
      <c r="N108" s="977"/>
      <c r="O108" s="977"/>
      <c r="P108" s="977"/>
      <c r="Q108" s="977"/>
    </row>
    <row r="109" spans="1:20">
      <c r="A109" s="221" t="s">
        <v>69</v>
      </c>
      <c r="C109" s="977" t="s">
        <v>476</v>
      </c>
      <c r="D109" s="977"/>
      <c r="E109" s="977"/>
      <c r="F109" s="977"/>
      <c r="G109" s="977"/>
      <c r="H109" s="977"/>
      <c r="I109" s="977"/>
      <c r="J109" s="977"/>
      <c r="K109" s="977"/>
      <c r="L109" s="977"/>
      <c r="M109" s="977"/>
      <c r="N109" s="977"/>
      <c r="O109" s="977"/>
      <c r="P109" s="977"/>
      <c r="Q109" s="977"/>
    </row>
    <row r="110" spans="1:20">
      <c r="A110" s="221" t="s">
        <v>70</v>
      </c>
      <c r="C110" s="977" t="s">
        <v>404</v>
      </c>
      <c r="D110" s="977"/>
      <c r="E110" s="977"/>
      <c r="F110" s="977"/>
      <c r="G110" s="977"/>
      <c r="H110" s="977"/>
      <c r="I110" s="977"/>
      <c r="J110" s="977"/>
      <c r="K110" s="977"/>
      <c r="L110" s="977"/>
      <c r="M110" s="977"/>
      <c r="N110" s="977"/>
      <c r="O110" s="977"/>
      <c r="P110" s="977"/>
      <c r="Q110" s="977"/>
    </row>
    <row r="111" spans="1:20">
      <c r="A111" s="221" t="s">
        <v>71</v>
      </c>
      <c r="C111" s="219" t="s">
        <v>339</v>
      </c>
    </row>
    <row r="112" spans="1:20">
      <c r="A112" s="25" t="s">
        <v>72</v>
      </c>
      <c r="C112" s="219" t="s">
        <v>477</v>
      </c>
      <c r="P112" s="3"/>
      <c r="Q112" s="53"/>
    </row>
    <row r="113" spans="1:17">
      <c r="A113" s="25" t="s">
        <v>105</v>
      </c>
      <c r="C113" s="219" t="s">
        <v>335</v>
      </c>
      <c r="D113" s="25"/>
      <c r="E113" s="221"/>
      <c r="F113" s="221"/>
      <c r="G113" s="3"/>
      <c r="J113" s="39"/>
      <c r="P113" s="3"/>
      <c r="Q113" s="36"/>
    </row>
    <row r="114" spans="1:17">
      <c r="A114" s="221" t="s">
        <v>124</v>
      </c>
      <c r="C114" s="116" t="s">
        <v>1128</v>
      </c>
      <c r="G114" s="614"/>
    </row>
    <row r="115" spans="1:17">
      <c r="A115" s="221" t="s">
        <v>440</v>
      </c>
      <c r="C115" s="219" t="s">
        <v>441</v>
      </c>
      <c r="K115" s="614"/>
    </row>
    <row r="116" spans="1:17">
      <c r="A116" s="221" t="s">
        <v>127</v>
      </c>
      <c r="C116" s="219" t="s">
        <v>446</v>
      </c>
    </row>
    <row r="117" spans="1:17">
      <c r="C117" s="219" t="s">
        <v>442</v>
      </c>
    </row>
    <row r="118" spans="1:17">
      <c r="A118" s="221" t="s">
        <v>128</v>
      </c>
      <c r="C118" s="976" t="s">
        <v>848</v>
      </c>
      <c r="D118" s="976"/>
      <c r="E118" s="976"/>
      <c r="F118" s="976"/>
      <c r="G118" s="976"/>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s>
  <mergeCells count="9">
    <mergeCell ref="C118:G118"/>
    <mergeCell ref="C109:Q109"/>
    <mergeCell ref="C110:Q110"/>
    <mergeCell ref="C102:Q102"/>
    <mergeCell ref="C103:Q103"/>
    <mergeCell ref="C104:Q104"/>
    <mergeCell ref="C106:Q106"/>
    <mergeCell ref="C107:Q107"/>
    <mergeCell ref="C108:Q108"/>
  </mergeCells>
  <phoneticPr fontId="0" type="noConversion"/>
  <pageMargins left="0.25" right="0.25" top="0.75" bottom="0.75" header="0.3" footer="0.3"/>
  <pageSetup scale="40" fitToHeight="2" orientation="landscape" r:id="rId2"/>
  <rowBreaks count="1" manualBreakCount="1">
    <brk id="5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view="pageBreakPreview" zoomScale="70" zoomScaleNormal="100" zoomScaleSheetLayoutView="70" workbookViewId="0">
      <selection activeCell="F14" sqref="F14"/>
    </sheetView>
  </sheetViews>
  <sheetFormatPr defaultRowHeight="15.75"/>
  <cols>
    <col min="1" max="1" width="5.5546875" style="124" customWidth="1"/>
    <col min="2" max="2" width="21.5546875" style="132" customWidth="1"/>
    <col min="3" max="3" width="38.44140625" style="132" customWidth="1"/>
    <col min="4" max="4" width="25.21875" style="132" customWidth="1"/>
    <col min="5" max="5" width="13.5546875" style="132" customWidth="1"/>
    <col min="6" max="6" width="6.5546875" style="132" customWidth="1"/>
    <col min="7" max="7" width="9" style="132" bestFit="1" customWidth="1"/>
    <col min="8" max="8" width="7.33203125" style="132" customWidth="1"/>
    <col min="9" max="9" width="12.33203125" style="132" customWidth="1"/>
    <col min="10" max="10" width="18" style="138" customWidth="1"/>
    <col min="11" max="11" width="16" customWidth="1"/>
  </cols>
  <sheetData>
    <row r="1" spans="1:11">
      <c r="C1" s="125"/>
      <c r="D1" s="125"/>
      <c r="E1" s="125"/>
      <c r="F1" s="126"/>
      <c r="G1" s="125"/>
      <c r="H1" s="125"/>
      <c r="I1" s="125"/>
      <c r="J1" s="175"/>
    </row>
    <row r="2" spans="1:11">
      <c r="B2" s="124"/>
      <c r="C2" s="125"/>
      <c r="D2" s="125"/>
      <c r="E2" s="125"/>
      <c r="F2" s="126"/>
      <c r="G2" s="125"/>
      <c r="H2" s="125"/>
      <c r="I2" s="125"/>
      <c r="J2" s="175"/>
    </row>
    <row r="3" spans="1:11">
      <c r="C3" s="125"/>
      <c r="D3" s="127" t="s">
        <v>2</v>
      </c>
      <c r="E3" s="127"/>
      <c r="F3" s="126" t="s">
        <v>266</v>
      </c>
      <c r="H3" s="127"/>
      <c r="I3" s="127"/>
      <c r="J3" s="128"/>
      <c r="K3" s="226" t="s">
        <v>460</v>
      </c>
    </row>
    <row r="4" spans="1:11">
      <c r="A4" s="850"/>
      <c r="B4" s="130"/>
      <c r="C4" s="130"/>
      <c r="D4" s="130"/>
      <c r="E4" s="130"/>
      <c r="F4" s="165" t="s">
        <v>340</v>
      </c>
      <c r="H4" s="130"/>
      <c r="I4" s="130"/>
      <c r="J4" s="130"/>
      <c r="K4" s="129"/>
    </row>
    <row r="5" spans="1:11">
      <c r="B5" s="130"/>
      <c r="C5" s="130"/>
      <c r="D5" s="130"/>
      <c r="F5" s="131" t="str">
        <f>+'Attachment H-7'!D5</f>
        <v>PECO Energy Company</v>
      </c>
      <c r="H5" s="130"/>
      <c r="I5" s="130"/>
      <c r="J5" s="130"/>
      <c r="K5" s="130"/>
    </row>
    <row r="7" spans="1:11">
      <c r="A7" s="124">
        <v>1</v>
      </c>
      <c r="B7" s="132" t="s">
        <v>328</v>
      </c>
      <c r="C7" s="132" t="s">
        <v>1122</v>
      </c>
      <c r="J7" s="132"/>
      <c r="K7" s="163">
        <f>+'Attachment H-7'!I98</f>
        <v>864365246.93681228</v>
      </c>
    </row>
    <row r="8" spans="1:11">
      <c r="J8" s="132"/>
      <c r="K8" s="138"/>
    </row>
    <row r="9" spans="1:11" ht="16.5" thickBot="1">
      <c r="A9" s="134">
        <f>+A7+1</f>
        <v>2</v>
      </c>
      <c r="B9" s="135" t="s">
        <v>267</v>
      </c>
      <c r="C9" s="136"/>
      <c r="D9" s="136"/>
      <c r="E9" s="136"/>
      <c r="F9" s="136"/>
      <c r="G9" s="136"/>
      <c r="H9" s="136"/>
      <c r="I9" s="136"/>
      <c r="J9" s="137" t="s">
        <v>47</v>
      </c>
      <c r="K9" s="138"/>
    </row>
    <row r="10" spans="1:11">
      <c r="A10" s="134"/>
      <c r="B10" s="139"/>
      <c r="C10" s="136"/>
      <c r="D10" s="136"/>
      <c r="E10" s="136"/>
      <c r="F10" s="136"/>
      <c r="G10" s="136"/>
      <c r="H10" s="140" t="s">
        <v>55</v>
      </c>
      <c r="I10" s="136"/>
      <c r="J10" s="136"/>
      <c r="K10" s="138"/>
    </row>
    <row r="11" spans="1:11" ht="16.5" thickBot="1">
      <c r="A11" s="134"/>
      <c r="B11" s="139"/>
      <c r="C11" s="136"/>
      <c r="D11" s="136"/>
      <c r="E11" s="141" t="s">
        <v>47</v>
      </c>
      <c r="F11" s="141" t="s">
        <v>56</v>
      </c>
      <c r="G11" s="136"/>
      <c r="H11" s="141"/>
      <c r="I11" s="136"/>
      <c r="J11" s="141" t="s">
        <v>57</v>
      </c>
      <c r="K11" s="138"/>
    </row>
    <row r="12" spans="1:11">
      <c r="A12" s="134">
        <f>+A9+1</f>
        <v>3</v>
      </c>
      <c r="B12" s="135" t="s">
        <v>246</v>
      </c>
      <c r="C12" s="142" t="s">
        <v>1120</v>
      </c>
      <c r="D12" s="142"/>
      <c r="E12" s="338">
        <f>+'Attachment H-7'!D197</f>
        <v>2884418609</v>
      </c>
      <c r="F12" s="608">
        <f>+'Attachment H-7'!E197</f>
        <v>0.45083167862368689</v>
      </c>
      <c r="G12" s="133"/>
      <c r="H12" s="608">
        <f>+'Attachment H-7'!G197</f>
        <v>4.3765193999967013E-2</v>
      </c>
      <c r="I12" s="133"/>
      <c r="J12" s="609">
        <f>F12*H12</f>
        <v>1.9730735876296437E-2</v>
      </c>
      <c r="K12" s="138"/>
    </row>
    <row r="13" spans="1:11">
      <c r="A13" s="134">
        <f>+A12+1</f>
        <v>4</v>
      </c>
      <c r="B13" s="135" t="s">
        <v>329</v>
      </c>
      <c r="C13" s="142" t="s">
        <v>1120</v>
      </c>
      <c r="D13" s="142"/>
      <c r="E13" s="338">
        <f>+'Attachment H-7'!D198</f>
        <v>0</v>
      </c>
      <c r="F13" s="608">
        <f>+'Attachment H-7'!E198</f>
        <v>0</v>
      </c>
      <c r="G13" s="133"/>
      <c r="H13" s="608">
        <f>+'Attachment H-7'!G198</f>
        <v>0</v>
      </c>
      <c r="I13" s="133"/>
      <c r="J13" s="609">
        <f>F13*H13</f>
        <v>0</v>
      </c>
      <c r="K13" s="138"/>
    </row>
    <row r="14" spans="1:11" ht="32.25" thickBot="1">
      <c r="A14" s="851">
        <f>+A13+1</f>
        <v>5</v>
      </c>
      <c r="B14" s="135" t="s">
        <v>297</v>
      </c>
      <c r="C14" s="142" t="s">
        <v>1121</v>
      </c>
      <c r="D14" s="172" t="s">
        <v>1136</v>
      </c>
      <c r="E14" s="338">
        <f>+'Attachment H-7'!D199</f>
        <v>3513575910.3861351</v>
      </c>
      <c r="F14" s="608">
        <f>+'Attachment H-7'!E199</f>
        <v>0.54916832137631311</v>
      </c>
      <c r="G14" s="133"/>
      <c r="H14" s="608">
        <f>+'Attachment H-7'!G199+0.01</f>
        <v>0.12</v>
      </c>
      <c r="I14" s="133"/>
      <c r="J14" s="610">
        <f>F14*H14</f>
        <v>6.5900198565157567E-2</v>
      </c>
      <c r="K14" s="138"/>
    </row>
    <row r="15" spans="1:11">
      <c r="A15" s="134">
        <f>+A14+1</f>
        <v>6</v>
      </c>
      <c r="B15" s="139" t="s">
        <v>406</v>
      </c>
      <c r="C15" s="143"/>
      <c r="D15" s="143"/>
      <c r="E15" s="338">
        <f>SUM(E12:E14)</f>
        <v>6397994519.3861351</v>
      </c>
      <c r="F15" s="133" t="s">
        <v>2</v>
      </c>
      <c r="G15" s="133"/>
      <c r="H15" s="133"/>
      <c r="I15" s="133"/>
      <c r="J15" s="609">
        <f>SUM(J12:J14)</f>
        <v>8.5630934441454004E-2</v>
      </c>
      <c r="K15" s="138"/>
    </row>
    <row r="16" spans="1:11">
      <c r="A16" s="134">
        <f t="shared" ref="A16:A40" si="0">+A15+1</f>
        <v>7</v>
      </c>
      <c r="B16" s="139" t="s">
        <v>274</v>
      </c>
      <c r="C16" s="143"/>
      <c r="D16" s="143"/>
      <c r="E16" s="144"/>
      <c r="F16" s="136"/>
      <c r="G16" s="136"/>
      <c r="H16" s="136"/>
      <c r="I16" s="136"/>
      <c r="J16" s="133"/>
      <c r="K16" s="133">
        <f>+J15*K7</f>
        <v>74016403.793917373</v>
      </c>
    </row>
    <row r="17" spans="1:11">
      <c r="A17" s="134"/>
      <c r="J17" s="132"/>
      <c r="K17" s="138"/>
    </row>
    <row r="18" spans="1:11">
      <c r="A18" s="134">
        <f>+A16+1</f>
        <v>8</v>
      </c>
      <c r="B18" s="139" t="s">
        <v>39</v>
      </c>
      <c r="C18" s="145"/>
      <c r="D18" s="145"/>
      <c r="E18" s="136"/>
      <c r="F18" s="136"/>
      <c r="G18" s="143"/>
      <c r="H18" s="146"/>
      <c r="I18" s="136"/>
      <c r="J18" s="143"/>
      <c r="K18" s="138"/>
    </row>
    <row r="19" spans="1:11">
      <c r="A19" s="134">
        <f t="shared" si="0"/>
        <v>9</v>
      </c>
      <c r="B19" s="147" t="s">
        <v>334</v>
      </c>
      <c r="C19" s="136"/>
      <c r="D19" s="8"/>
      <c r="E19" s="611">
        <f>IF('Attachment H-7'!D226&gt;0,1-(((1-'Attachment H-7'!D227)*(1-'Attachment H-7'!D226))/(1-'Attachment H-7'!D226*'Attachment H-7'!D227*'Attachment H-7'!D228)),0)</f>
        <v>0.41493499999999994</v>
      </c>
      <c r="F19" s="168"/>
      <c r="G19" s="143"/>
      <c r="H19" s="146"/>
      <c r="I19" s="136"/>
      <c r="J19" s="143"/>
      <c r="K19" s="138"/>
    </row>
    <row r="20" spans="1:11">
      <c r="A20" s="134">
        <f t="shared" si="0"/>
        <v>10</v>
      </c>
      <c r="B20" s="143" t="s">
        <v>40</v>
      </c>
      <c r="C20" s="136"/>
      <c r="D20" s="8"/>
      <c r="E20" s="611">
        <f>IF(J15&gt;0,(E19/(1-E19))*(1-J12/J15),0)</f>
        <v>0.54579806410587306</v>
      </c>
      <c r="F20" s="136"/>
      <c r="G20" s="143"/>
      <c r="H20" s="146"/>
      <c r="I20" s="136"/>
      <c r="J20" s="143"/>
      <c r="K20" s="138"/>
    </row>
    <row r="21" spans="1:11">
      <c r="A21" s="134">
        <f t="shared" si="0"/>
        <v>11</v>
      </c>
      <c r="B21" s="145" t="s">
        <v>330</v>
      </c>
      <c r="C21" s="145"/>
      <c r="D21" s="8"/>
      <c r="E21" s="136"/>
      <c r="F21" s="136"/>
      <c r="G21" s="143"/>
      <c r="H21" s="146"/>
      <c r="I21" s="136"/>
      <c r="J21" s="143"/>
      <c r="K21" s="138"/>
    </row>
    <row r="22" spans="1:11">
      <c r="A22" s="134">
        <f t="shared" si="0"/>
        <v>12</v>
      </c>
      <c r="B22" s="148" t="s">
        <v>331</v>
      </c>
      <c r="C22" s="145"/>
      <c r="D22" s="145"/>
      <c r="E22" s="136"/>
      <c r="F22" s="136"/>
      <c r="G22" s="143"/>
      <c r="H22" s="146"/>
      <c r="I22" s="136"/>
      <c r="J22" s="143"/>
      <c r="K22" s="138"/>
    </row>
    <row r="23" spans="1:11">
      <c r="A23" s="134">
        <f t="shared" si="0"/>
        <v>13</v>
      </c>
      <c r="B23" s="149" t="str">
        <f>"      1 / (1 - T)  =  (from line "&amp;A19&amp;")"</f>
        <v xml:space="preserve">      1 / (1 - T)  =  (from line 9)</v>
      </c>
      <c r="C23" s="145"/>
      <c r="D23" s="145"/>
      <c r="E23" s="168">
        <f>IF(E19&gt;0,1/(1-E19),0)</f>
        <v>1.7092117969798226</v>
      </c>
      <c r="F23" s="136"/>
      <c r="G23" s="143"/>
      <c r="H23" s="146"/>
      <c r="I23" s="136"/>
      <c r="J23" s="143"/>
      <c r="K23" s="138"/>
    </row>
    <row r="24" spans="1:11">
      <c r="A24" s="134">
        <f t="shared" si="0"/>
        <v>14</v>
      </c>
      <c r="B24" s="148" t="s">
        <v>268</v>
      </c>
      <c r="C24" s="145"/>
      <c r="D24" s="145" t="s">
        <v>1123</v>
      </c>
      <c r="E24" s="942">
        <f>+'Attachment H-7'!D152</f>
        <v>-5342.5814940355485</v>
      </c>
      <c r="F24" s="136"/>
      <c r="G24" s="143"/>
      <c r="H24" s="146"/>
      <c r="I24" s="136"/>
      <c r="J24" s="143"/>
      <c r="K24" s="138"/>
    </row>
    <row r="25" spans="1:11">
      <c r="A25" s="134">
        <f t="shared" si="0"/>
        <v>15</v>
      </c>
      <c r="B25" s="148" t="s">
        <v>269</v>
      </c>
      <c r="C25" s="145"/>
      <c r="D25" s="145" t="s">
        <v>1124</v>
      </c>
      <c r="E25" s="942">
        <f>+'Attachment H-7'!D153</f>
        <v>0</v>
      </c>
      <c r="F25" s="136"/>
      <c r="G25" s="143"/>
      <c r="H25" s="150"/>
      <c r="I25" s="136"/>
      <c r="J25" s="143"/>
      <c r="K25" s="138"/>
    </row>
    <row r="26" spans="1:11">
      <c r="A26" s="134">
        <f t="shared" si="0"/>
        <v>16</v>
      </c>
      <c r="B26" s="148" t="s">
        <v>332</v>
      </c>
      <c r="C26" s="145"/>
      <c r="D26" s="145" t="s">
        <v>1125</v>
      </c>
      <c r="E26" s="942">
        <f>+'Attachment H-7'!D154</f>
        <v>356305.2305774226</v>
      </c>
      <c r="F26" s="136"/>
      <c r="G26" s="143"/>
      <c r="H26" s="146"/>
      <c r="I26" s="136"/>
      <c r="J26" s="143"/>
      <c r="K26" s="138"/>
    </row>
    <row r="27" spans="1:11">
      <c r="A27" s="134">
        <f t="shared" si="0"/>
        <v>17</v>
      </c>
      <c r="B27" s="149" t="str">
        <f>"Income Tax Calculation = line "&amp;A20&amp;" * line "&amp;A33&amp;""</f>
        <v>Income Tax Calculation = line 10 * line 22</v>
      </c>
      <c r="C27" s="151"/>
      <c r="E27" s="943">
        <f>+E20*K33</f>
        <v>62507924.404514574</v>
      </c>
      <c r="F27" s="152"/>
      <c r="G27" s="152" t="s">
        <v>22</v>
      </c>
      <c r="H27" s="153"/>
      <c r="I27" s="152"/>
      <c r="J27" s="943">
        <f>+E20*K16</f>
        <v>40398009.902798697</v>
      </c>
      <c r="K27" s="138"/>
    </row>
    <row r="28" spans="1:11">
      <c r="A28" s="134">
        <f t="shared" si="0"/>
        <v>18</v>
      </c>
      <c r="B28" s="142" t="str">
        <f>"ITC adjustment (line "&amp;A23&amp;" * line "&amp;A24&amp;")"</f>
        <v>ITC adjustment (line 13 * line 14)</v>
      </c>
      <c r="C28" s="151"/>
      <c r="D28" s="151"/>
      <c r="E28" s="943">
        <f>+E$23*E24</f>
        <v>-9131.6033159316448</v>
      </c>
      <c r="F28" s="152"/>
      <c r="G28" s="154" t="s">
        <v>28</v>
      </c>
      <c r="H28" s="609">
        <f>+'Attachment H-7'!G73</f>
        <v>0.18557571917772073</v>
      </c>
      <c r="I28" s="152"/>
      <c r="J28" s="943">
        <f>+E28*H28</f>
        <v>-1694.6038525996744</v>
      </c>
      <c r="K28" s="138"/>
    </row>
    <row r="29" spans="1:11">
      <c r="A29" s="134">
        <f t="shared" si="0"/>
        <v>19</v>
      </c>
      <c r="B29" s="142" t="str">
        <f>"Excess Deferred Income Tax Adjustment (line "&amp;A23&amp;" * line "&amp;A25&amp;")"</f>
        <v>Excess Deferred Income Tax Adjustment (line 13 * line 15)</v>
      </c>
      <c r="C29" s="151"/>
      <c r="D29" s="151"/>
      <c r="E29" s="943">
        <f>+E$23*E25</f>
        <v>0</v>
      </c>
      <c r="F29" s="152"/>
      <c r="G29" s="154" t="s">
        <v>28</v>
      </c>
      <c r="H29" s="609">
        <f>H28</f>
        <v>0.18557571917772073</v>
      </c>
      <c r="I29" s="152"/>
      <c r="J29" s="943">
        <f>+E29*H29</f>
        <v>0</v>
      </c>
      <c r="K29" s="138"/>
    </row>
    <row r="30" spans="1:11">
      <c r="A30" s="134">
        <f t="shared" si="0"/>
        <v>20</v>
      </c>
      <c r="B30" s="142" t="str">
        <f>"Permanent Differences Tax Adjustment (line "&amp;A23&amp;" * "&amp;A26&amp;")"</f>
        <v>Permanent Differences Tax Adjustment (line 13 * 16)</v>
      </c>
      <c r="C30" s="151"/>
      <c r="D30" s="151"/>
      <c r="E30" s="944">
        <f>+E$23*E26</f>
        <v>609001.10342854657</v>
      </c>
      <c r="F30" s="152"/>
      <c r="G30" s="154" t="s">
        <v>28</v>
      </c>
      <c r="H30" s="609">
        <f>H29</f>
        <v>0.18557571917772073</v>
      </c>
      <c r="I30" s="152"/>
      <c r="J30" s="944">
        <f>+E30*H30</f>
        <v>113015.81774877802</v>
      </c>
      <c r="K30" s="138"/>
    </row>
    <row r="31" spans="1:11">
      <c r="A31" s="134">
        <f t="shared" si="0"/>
        <v>21</v>
      </c>
      <c r="B31" s="155" t="str">
        <f>"Total Income Taxes (sum lines "&amp;A27&amp;" - "&amp;A30&amp;")"</f>
        <v>Total Income Taxes (sum lines 17 - 20)</v>
      </c>
      <c r="C31" s="142"/>
      <c r="D31" s="142"/>
      <c r="E31" s="942">
        <f>SUM(E27:E30)</f>
        <v>63107793.904627189</v>
      </c>
      <c r="F31" s="152"/>
      <c r="G31" s="152" t="s">
        <v>2</v>
      </c>
      <c r="H31" s="153" t="s">
        <v>2</v>
      </c>
      <c r="I31" s="152"/>
      <c r="J31" s="942">
        <f>SUM(J27:J30)</f>
        <v>40509331.116694875</v>
      </c>
      <c r="K31" s="163">
        <f>+J31</f>
        <v>40509331.116694875</v>
      </c>
    </row>
    <row r="32" spans="1:11">
      <c r="A32" s="134"/>
      <c r="J32" s="132"/>
      <c r="K32" s="945"/>
    </row>
    <row r="33" spans="1:11">
      <c r="A33" s="134">
        <f>+A31+1</f>
        <v>22</v>
      </c>
      <c r="B33" s="142" t="s">
        <v>270</v>
      </c>
      <c r="D33" s="132" t="s">
        <v>479</v>
      </c>
      <c r="J33" s="132"/>
      <c r="K33" s="163">
        <f>+K31+K16</f>
        <v>114525734.91061226</v>
      </c>
    </row>
    <row r="34" spans="1:11">
      <c r="A34" s="134"/>
      <c r="J34" s="132"/>
      <c r="K34" s="945"/>
    </row>
    <row r="35" spans="1:11">
      <c r="A35" s="134">
        <f>+A33+1</f>
        <v>23</v>
      </c>
      <c r="B35" s="132" t="s">
        <v>1126</v>
      </c>
      <c r="J35" s="132"/>
      <c r="K35" s="163">
        <f>+'Attachment H-7'!I162</f>
        <v>69269583.676754266</v>
      </c>
    </row>
    <row r="36" spans="1:11">
      <c r="A36" s="134">
        <f t="shared" si="0"/>
        <v>24</v>
      </c>
      <c r="B36" s="132" t="s">
        <v>1127</v>
      </c>
      <c r="J36" s="132"/>
      <c r="K36" s="163">
        <f>+'Attachment H-7'!I159</f>
        <v>37631378.577678099</v>
      </c>
    </row>
    <row r="37" spans="1:11">
      <c r="A37" s="134">
        <f t="shared" si="0"/>
        <v>25</v>
      </c>
      <c r="B37" s="142" t="s">
        <v>271</v>
      </c>
      <c r="D37" s="132" t="s">
        <v>480</v>
      </c>
      <c r="J37" s="132"/>
      <c r="K37" s="946">
        <f>SUM(K35:K36)</f>
        <v>106900962.25443237</v>
      </c>
    </row>
    <row r="38" spans="1:11">
      <c r="A38" s="134">
        <f t="shared" si="0"/>
        <v>26</v>
      </c>
      <c r="B38" s="142" t="s">
        <v>272</v>
      </c>
      <c r="D38" s="132" t="s">
        <v>481</v>
      </c>
      <c r="J38" s="132"/>
      <c r="K38" s="163">
        <f>+K33-K37</f>
        <v>7624772.65617989</v>
      </c>
    </row>
    <row r="39" spans="1:11">
      <c r="A39" s="134">
        <f t="shared" si="0"/>
        <v>27</v>
      </c>
      <c r="B39" s="132" t="s">
        <v>333</v>
      </c>
      <c r="J39" s="132"/>
      <c r="K39" s="173">
        <f>+K7</f>
        <v>864365246.93681228</v>
      </c>
    </row>
    <row r="40" spans="1:11">
      <c r="A40" s="134">
        <f t="shared" si="0"/>
        <v>28</v>
      </c>
      <c r="B40" s="132" t="s">
        <v>273</v>
      </c>
      <c r="E40" s="132" t="s">
        <v>482</v>
      </c>
      <c r="J40" s="132"/>
      <c r="K40" s="174">
        <f>IF(K39=0,0,K38/K39)</f>
        <v>8.8212392656935278E-3</v>
      </c>
    </row>
    <row r="41" spans="1:11">
      <c r="J41" s="132"/>
      <c r="K41" s="138"/>
    </row>
    <row r="42" spans="1:11">
      <c r="A42" s="124" t="s">
        <v>306</v>
      </c>
      <c r="J42" s="132"/>
      <c r="K42" s="138"/>
    </row>
    <row r="43" spans="1:11">
      <c r="A43" s="171" t="s">
        <v>63</v>
      </c>
      <c r="B43" s="163" t="s">
        <v>305</v>
      </c>
      <c r="J43" s="132"/>
      <c r="K43" s="138"/>
    </row>
    <row r="44" spans="1:11">
      <c r="A44" s="171"/>
      <c r="B44" s="132" t="s">
        <v>408</v>
      </c>
      <c r="J44" s="132"/>
      <c r="K44" s="138"/>
    </row>
    <row r="45" spans="1:11">
      <c r="A45" s="171"/>
      <c r="B45" s="132" t="s">
        <v>308</v>
      </c>
      <c r="J45" s="132"/>
      <c r="K45" s="138"/>
    </row>
    <row r="46" spans="1:11">
      <c r="A46" s="171"/>
      <c r="B46" s="132" t="s">
        <v>407</v>
      </c>
      <c r="J46" s="132"/>
      <c r="K46" s="138"/>
    </row>
    <row r="47" spans="1:11">
      <c r="A47" s="171" t="s">
        <v>64</v>
      </c>
      <c r="B47" s="132" t="s">
        <v>307</v>
      </c>
      <c r="J47" s="132"/>
      <c r="K47" s="138"/>
    </row>
    <row r="48" spans="1:11">
      <c r="B48" s="132" t="s">
        <v>957</v>
      </c>
      <c r="J48" s="132"/>
      <c r="K48" s="138"/>
    </row>
    <row r="68" ht="24" customHeight="1"/>
  </sheetData>
  <phoneticPr fontId="0" type="noConversion"/>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37" zoomScale="70" zoomScaleNormal="65" zoomScaleSheetLayoutView="70" workbookViewId="0">
      <selection activeCell="J50" sqref="J50"/>
    </sheetView>
  </sheetViews>
  <sheetFormatPr defaultColWidth="8.88671875" defaultRowHeight="12.75"/>
  <cols>
    <col min="1" max="1" width="6" style="219" customWidth="1"/>
    <col min="2" max="2" width="27.109375" style="219" customWidth="1"/>
    <col min="3" max="3" width="11.21875" style="219" customWidth="1"/>
    <col min="4" max="4" width="18.6640625" style="219" customWidth="1"/>
    <col min="5" max="5" width="22.21875" style="219" customWidth="1"/>
    <col min="6" max="6" width="15.21875" style="219" customWidth="1"/>
    <col min="7" max="7" width="18.33203125" style="219" customWidth="1"/>
    <col min="8" max="8" width="14.44140625" style="219" customWidth="1"/>
    <col min="9" max="9" width="18.5546875" style="219" customWidth="1"/>
    <col min="10" max="10" width="13.77734375" style="219" customWidth="1"/>
    <col min="11" max="11" width="14.44140625" style="219" customWidth="1"/>
    <col min="12" max="12" width="13.5546875" style="219" customWidth="1"/>
    <col min="13" max="16384" width="8.88671875" style="219"/>
  </cols>
  <sheetData>
    <row r="1" spans="1:13">
      <c r="J1" s="2" t="s">
        <v>460</v>
      </c>
    </row>
    <row r="5" spans="1:13">
      <c r="A5" s="206"/>
      <c r="D5" s="2"/>
      <c r="E5" s="364" t="s">
        <v>200</v>
      </c>
      <c r="F5" s="2"/>
      <c r="G5" s="2"/>
      <c r="I5" s="2"/>
      <c r="J5" s="2"/>
      <c r="K5" s="2"/>
      <c r="L5" s="5"/>
    </row>
    <row r="6" spans="1:13">
      <c r="A6" s="206"/>
      <c r="D6" s="2"/>
      <c r="E6" s="182" t="s">
        <v>310</v>
      </c>
      <c r="F6" s="3"/>
      <c r="G6" s="3"/>
      <c r="I6" s="3"/>
      <c r="J6" s="3"/>
      <c r="K6" s="3"/>
      <c r="L6" s="5"/>
    </row>
    <row r="7" spans="1:13">
      <c r="A7" s="206"/>
      <c r="C7" s="6"/>
      <c r="D7" s="6"/>
      <c r="E7" s="225" t="str">
        <f>+'2-Incentive ROE'!F5</f>
        <v>PECO Energy Company</v>
      </c>
      <c r="F7" s="6"/>
      <c r="G7" s="6"/>
      <c r="I7" s="6"/>
      <c r="J7" s="6"/>
      <c r="K7" s="6"/>
      <c r="L7" s="6"/>
    </row>
    <row r="8" spans="1:13" s="170" customFormat="1">
      <c r="A8" s="207"/>
      <c r="B8" s="219"/>
      <c r="C8" s="219"/>
      <c r="D8" s="219"/>
      <c r="E8" s="31"/>
      <c r="F8" s="31"/>
      <c r="G8" s="31"/>
      <c r="H8" s="219"/>
      <c r="I8" s="6"/>
      <c r="J8" s="6"/>
      <c r="K8" s="6"/>
      <c r="L8" s="6"/>
    </row>
    <row r="9" spans="1:13" s="170" customFormat="1">
      <c r="A9" s="211"/>
      <c r="B9" s="117"/>
      <c r="C9" s="117"/>
      <c r="D9" s="117"/>
      <c r="E9" s="117"/>
      <c r="F9" s="117"/>
      <c r="G9" s="117"/>
      <c r="H9" s="117"/>
      <c r="I9" s="117"/>
      <c r="J9" s="117"/>
      <c r="K9" s="164"/>
      <c r="L9" s="117"/>
    </row>
    <row r="10" spans="1:13" s="170" customFormat="1">
      <c r="A10" s="211"/>
      <c r="B10" s="117"/>
      <c r="C10" s="117"/>
      <c r="D10" s="983" t="s">
        <v>457</v>
      </c>
      <c r="E10" s="984"/>
      <c r="F10" s="448"/>
      <c r="G10" s="449" t="s">
        <v>371</v>
      </c>
      <c r="H10" s="448"/>
      <c r="I10" s="450"/>
      <c r="J10" s="450"/>
      <c r="K10" s="451"/>
    </row>
    <row r="11" spans="1:13" s="170" customFormat="1" ht="15.75">
      <c r="A11" s="211">
        <v>1</v>
      </c>
      <c r="B11" s="117" t="s">
        <v>456</v>
      </c>
      <c r="C11" s="117"/>
      <c r="D11" s="985" t="s">
        <v>458</v>
      </c>
      <c r="E11" s="986"/>
      <c r="F11" s="452" t="s">
        <v>409</v>
      </c>
      <c r="G11" s="453" t="s">
        <v>372</v>
      </c>
      <c r="H11" s="452" t="s">
        <v>373</v>
      </c>
      <c r="I11" s="454"/>
      <c r="J11" s="454"/>
      <c r="K11" s="455"/>
    </row>
    <row r="12" spans="1:13" s="170" customFormat="1">
      <c r="A12" s="211">
        <v>2</v>
      </c>
      <c r="B12" s="117"/>
      <c r="C12" s="117"/>
      <c r="D12" s="456"/>
      <c r="E12" s="456"/>
      <c r="F12" s="801">
        <v>0</v>
      </c>
      <c r="G12" s="457"/>
      <c r="H12" s="456"/>
      <c r="I12" s="456"/>
      <c r="J12" s="456"/>
      <c r="K12" s="448"/>
    </row>
    <row r="13" spans="1:13" s="170" customFormat="1">
      <c r="B13" s="458" t="s">
        <v>63</v>
      </c>
      <c r="C13" s="458" t="s">
        <v>64</v>
      </c>
      <c r="D13" s="453" t="s">
        <v>65</v>
      </c>
      <c r="E13" s="453" t="s">
        <v>66</v>
      </c>
      <c r="F13" s="449" t="s">
        <v>67</v>
      </c>
      <c r="G13" s="458" t="s">
        <v>68</v>
      </c>
      <c r="H13" s="459" t="s">
        <v>69</v>
      </c>
      <c r="I13" s="459" t="s">
        <v>70</v>
      </c>
      <c r="J13" s="459" t="s">
        <v>71</v>
      </c>
      <c r="K13" s="460" t="s">
        <v>72</v>
      </c>
      <c r="M13" s="363"/>
    </row>
    <row r="14" spans="1:13" s="170" customFormat="1">
      <c r="A14" s="211"/>
      <c r="B14" s="456"/>
      <c r="C14" s="449"/>
      <c r="D14" s="449"/>
      <c r="E14" s="461" t="s">
        <v>410</v>
      </c>
      <c r="F14" s="449"/>
      <c r="G14" s="449"/>
      <c r="H14" s="456"/>
      <c r="I14" s="449"/>
      <c r="J14" s="456"/>
      <c r="K14" s="456"/>
    </row>
    <row r="15" spans="1:13" s="170" customFormat="1">
      <c r="A15" s="211"/>
      <c r="B15" s="456"/>
      <c r="C15" s="449"/>
      <c r="D15" s="459" t="s">
        <v>449</v>
      </c>
      <c r="E15" s="460" t="s">
        <v>13</v>
      </c>
      <c r="F15" s="459" t="s">
        <v>376</v>
      </c>
      <c r="G15" s="459" t="s">
        <v>448</v>
      </c>
      <c r="H15" s="459" t="s">
        <v>374</v>
      </c>
      <c r="I15" s="459"/>
      <c r="J15" s="459" t="s">
        <v>317</v>
      </c>
      <c r="K15" s="459"/>
    </row>
    <row r="16" spans="1:13" s="170" customFormat="1" ht="25.5" customHeight="1">
      <c r="A16" s="211"/>
      <c r="B16" s="980" t="s">
        <v>470</v>
      </c>
      <c r="C16" s="988" t="s">
        <v>745</v>
      </c>
      <c r="D16" s="459" t="s">
        <v>375</v>
      </c>
      <c r="E16" s="460" t="s">
        <v>411</v>
      </c>
      <c r="F16" s="459" t="s">
        <v>379</v>
      </c>
      <c r="G16" s="459" t="s">
        <v>375</v>
      </c>
      <c r="H16" s="459" t="s">
        <v>327</v>
      </c>
      <c r="I16" s="449" t="s">
        <v>394</v>
      </c>
      <c r="J16" s="459" t="s">
        <v>377</v>
      </c>
      <c r="K16" s="459" t="s">
        <v>412</v>
      </c>
    </row>
    <row r="17" spans="1:11" s="170" customFormat="1" ht="15.75">
      <c r="A17" s="211"/>
      <c r="B17" s="981"/>
      <c r="C17" s="989"/>
      <c r="D17" s="453" t="s">
        <v>378</v>
      </c>
      <c r="E17" s="460" t="s">
        <v>372</v>
      </c>
      <c r="F17" s="208" t="s">
        <v>450</v>
      </c>
      <c r="G17" s="453" t="s">
        <v>413</v>
      </c>
      <c r="H17" s="453" t="s">
        <v>451</v>
      </c>
      <c r="I17" s="459" t="s">
        <v>414</v>
      </c>
      <c r="J17" s="453" t="s">
        <v>415</v>
      </c>
      <c r="K17" s="453" t="s">
        <v>452</v>
      </c>
    </row>
    <row r="18" spans="1:11" s="170" customFormat="1">
      <c r="A18" s="211">
        <v>3</v>
      </c>
      <c r="B18" s="457" t="s">
        <v>496</v>
      </c>
      <c r="C18" s="457" t="s">
        <v>496</v>
      </c>
      <c r="D18" s="615"/>
      <c r="E18" s="556">
        <f>IF(D$48=0,0,D18/D$48)</f>
        <v>0</v>
      </c>
      <c r="F18" s="593">
        <f>IF(F$12=0,0,E18*F$12)</f>
        <v>0</v>
      </c>
      <c r="G18" s="556"/>
      <c r="H18" s="624">
        <f>+G18-F18</f>
        <v>0</v>
      </c>
      <c r="I18" s="557">
        <v>0</v>
      </c>
      <c r="J18" s="622">
        <f>+'6-True-Up Interest'!G41</f>
        <v>0</v>
      </c>
      <c r="K18" s="555">
        <f>+H18+J18+I18</f>
        <v>0</v>
      </c>
    </row>
    <row r="19" spans="1:11" s="170" customFormat="1">
      <c r="A19" s="70" t="s">
        <v>416</v>
      </c>
      <c r="B19" s="551"/>
      <c r="C19" s="551"/>
      <c r="D19" s="552"/>
      <c r="E19" s="553">
        <f t="shared" ref="E19:E43" si="0">IF(D$48=0,0,D19/D$48)</f>
        <v>0</v>
      </c>
      <c r="F19" s="593">
        <f t="shared" ref="F19:F43" si="1">IF(F$12=0,0,E19*F$12)</f>
        <v>0</v>
      </c>
      <c r="G19" s="553"/>
      <c r="H19" s="624">
        <f t="shared" ref="H19:H43" si="2">+G19-F19</f>
        <v>0</v>
      </c>
      <c r="I19" s="553">
        <v>0</v>
      </c>
      <c r="J19" s="622">
        <f>+'6-True-Up Interest'!G42</f>
        <v>0</v>
      </c>
      <c r="K19" s="555">
        <f t="shared" ref="K19:K43" si="3">+H19+J19+I19</f>
        <v>0</v>
      </c>
    </row>
    <row r="20" spans="1:11" s="170" customFormat="1">
      <c r="A20" s="70" t="s">
        <v>417</v>
      </c>
      <c r="B20" s="551"/>
      <c r="C20" s="551"/>
      <c r="D20" s="552"/>
      <c r="E20" s="553">
        <f t="shared" si="0"/>
        <v>0</v>
      </c>
      <c r="F20" s="593">
        <f t="shared" si="1"/>
        <v>0</v>
      </c>
      <c r="G20" s="553"/>
      <c r="H20" s="624">
        <f t="shared" si="2"/>
        <v>0</v>
      </c>
      <c r="I20" s="553">
        <v>0</v>
      </c>
      <c r="J20" s="622">
        <f>+'6-True-Up Interest'!G43</f>
        <v>0</v>
      </c>
      <c r="K20" s="555">
        <f t="shared" si="3"/>
        <v>0</v>
      </c>
    </row>
    <row r="21" spans="1:11" s="170" customFormat="1">
      <c r="A21" s="70" t="s">
        <v>418</v>
      </c>
      <c r="B21" s="551"/>
      <c r="C21" s="551"/>
      <c r="D21" s="552"/>
      <c r="E21" s="553">
        <f t="shared" si="0"/>
        <v>0</v>
      </c>
      <c r="F21" s="593">
        <f t="shared" si="1"/>
        <v>0</v>
      </c>
      <c r="G21" s="553"/>
      <c r="H21" s="624">
        <f t="shared" si="2"/>
        <v>0</v>
      </c>
      <c r="I21" s="553">
        <v>0</v>
      </c>
      <c r="J21" s="622">
        <f>+'6-True-Up Interest'!G44</f>
        <v>0</v>
      </c>
      <c r="K21" s="555">
        <f t="shared" si="3"/>
        <v>0</v>
      </c>
    </row>
    <row r="22" spans="1:11" s="170" customFormat="1">
      <c r="A22" s="70" t="s">
        <v>888</v>
      </c>
      <c r="B22" s="551"/>
      <c r="C22" s="551"/>
      <c r="D22" s="552"/>
      <c r="E22" s="553">
        <f t="shared" si="0"/>
        <v>0</v>
      </c>
      <c r="F22" s="593">
        <f t="shared" si="1"/>
        <v>0</v>
      </c>
      <c r="G22" s="553"/>
      <c r="H22" s="624">
        <f t="shared" si="2"/>
        <v>0</v>
      </c>
      <c r="I22" s="553">
        <v>0</v>
      </c>
      <c r="J22" s="622">
        <f>+'6-True-Up Interest'!G45</f>
        <v>0</v>
      </c>
      <c r="K22" s="555">
        <f t="shared" si="3"/>
        <v>0</v>
      </c>
    </row>
    <row r="23" spans="1:11" s="170" customFormat="1">
      <c r="A23" s="70" t="s">
        <v>889</v>
      </c>
      <c r="B23" s="551"/>
      <c r="C23" s="551"/>
      <c r="D23" s="552"/>
      <c r="E23" s="553">
        <f t="shared" si="0"/>
        <v>0</v>
      </c>
      <c r="F23" s="593">
        <f t="shared" si="1"/>
        <v>0</v>
      </c>
      <c r="G23" s="553"/>
      <c r="H23" s="624">
        <f t="shared" si="2"/>
        <v>0</v>
      </c>
      <c r="I23" s="553">
        <v>0</v>
      </c>
      <c r="J23" s="622">
        <f>+'6-True-Up Interest'!G46</f>
        <v>0</v>
      </c>
      <c r="K23" s="555">
        <f t="shared" si="3"/>
        <v>0</v>
      </c>
    </row>
    <row r="24" spans="1:11" s="170" customFormat="1">
      <c r="A24" s="70" t="s">
        <v>890</v>
      </c>
      <c r="B24" s="551"/>
      <c r="C24" s="551"/>
      <c r="D24" s="552"/>
      <c r="E24" s="553">
        <f t="shared" si="0"/>
        <v>0</v>
      </c>
      <c r="F24" s="593">
        <f t="shared" si="1"/>
        <v>0</v>
      </c>
      <c r="G24" s="553"/>
      <c r="H24" s="624">
        <f t="shared" si="2"/>
        <v>0</v>
      </c>
      <c r="I24" s="553">
        <v>0</v>
      </c>
      <c r="J24" s="622">
        <f>+'6-True-Up Interest'!G47</f>
        <v>0</v>
      </c>
      <c r="K24" s="555">
        <f t="shared" si="3"/>
        <v>0</v>
      </c>
    </row>
    <row r="25" spans="1:11">
      <c r="A25" s="70" t="s">
        <v>891</v>
      </c>
      <c r="B25" s="551"/>
      <c r="C25" s="551"/>
      <c r="D25" s="552"/>
      <c r="E25" s="553">
        <f t="shared" si="0"/>
        <v>0</v>
      </c>
      <c r="F25" s="593">
        <f t="shared" si="1"/>
        <v>0</v>
      </c>
      <c r="G25" s="553"/>
      <c r="H25" s="624">
        <f t="shared" si="2"/>
        <v>0</v>
      </c>
      <c r="I25" s="553">
        <v>0</v>
      </c>
      <c r="J25" s="622">
        <f>+'6-True-Up Interest'!G48</f>
        <v>0</v>
      </c>
      <c r="K25" s="555">
        <f t="shared" si="3"/>
        <v>0</v>
      </c>
    </row>
    <row r="26" spans="1:11">
      <c r="A26" s="70" t="s">
        <v>892</v>
      </c>
      <c r="B26" s="551"/>
      <c r="C26" s="551"/>
      <c r="D26" s="552"/>
      <c r="E26" s="553">
        <f t="shared" si="0"/>
        <v>0</v>
      </c>
      <c r="F26" s="593">
        <f t="shared" si="1"/>
        <v>0</v>
      </c>
      <c r="G26" s="553"/>
      <c r="H26" s="624">
        <f t="shared" si="2"/>
        <v>0</v>
      </c>
      <c r="I26" s="553">
        <v>0</v>
      </c>
      <c r="J26" s="622">
        <f>+'6-True-Up Interest'!G49</f>
        <v>0</v>
      </c>
      <c r="K26" s="555">
        <f t="shared" si="3"/>
        <v>0</v>
      </c>
    </row>
    <row r="27" spans="1:11">
      <c r="A27" s="70" t="s">
        <v>893</v>
      </c>
      <c r="B27" s="551"/>
      <c r="C27" s="551"/>
      <c r="D27" s="552"/>
      <c r="E27" s="553">
        <f t="shared" si="0"/>
        <v>0</v>
      </c>
      <c r="F27" s="593">
        <f t="shared" si="1"/>
        <v>0</v>
      </c>
      <c r="G27" s="553"/>
      <c r="H27" s="624">
        <f t="shared" si="2"/>
        <v>0</v>
      </c>
      <c r="I27" s="553">
        <v>0</v>
      </c>
      <c r="J27" s="622">
        <f>+'6-True-Up Interest'!G50</f>
        <v>0</v>
      </c>
      <c r="K27" s="555">
        <f t="shared" si="3"/>
        <v>0</v>
      </c>
    </row>
    <row r="28" spans="1:11" ht="12.75" customHeight="1">
      <c r="A28" s="70" t="s">
        <v>894</v>
      </c>
      <c r="B28" s="551"/>
      <c r="C28" s="551"/>
      <c r="D28" s="552"/>
      <c r="E28" s="553">
        <f t="shared" si="0"/>
        <v>0</v>
      </c>
      <c r="F28" s="593">
        <f t="shared" si="1"/>
        <v>0</v>
      </c>
      <c r="G28" s="553"/>
      <c r="H28" s="624">
        <f t="shared" si="2"/>
        <v>0</v>
      </c>
      <c r="I28" s="553">
        <v>0</v>
      </c>
      <c r="J28" s="622">
        <f>+'6-True-Up Interest'!G51</f>
        <v>0</v>
      </c>
      <c r="K28" s="555">
        <f t="shared" si="3"/>
        <v>0</v>
      </c>
    </row>
    <row r="29" spans="1:11">
      <c r="A29" s="70" t="s">
        <v>895</v>
      </c>
      <c r="B29" s="551"/>
      <c r="C29" s="551"/>
      <c r="D29" s="552"/>
      <c r="E29" s="553">
        <f t="shared" si="0"/>
        <v>0</v>
      </c>
      <c r="F29" s="593">
        <f t="shared" si="1"/>
        <v>0</v>
      </c>
      <c r="G29" s="553"/>
      <c r="H29" s="624">
        <f t="shared" si="2"/>
        <v>0</v>
      </c>
      <c r="I29" s="553">
        <v>0</v>
      </c>
      <c r="J29" s="622">
        <f>+'6-True-Up Interest'!G52</f>
        <v>0</v>
      </c>
      <c r="K29" s="555">
        <f t="shared" si="3"/>
        <v>0</v>
      </c>
    </row>
    <row r="30" spans="1:11">
      <c r="A30" s="70" t="s">
        <v>896</v>
      </c>
      <c r="B30" s="551"/>
      <c r="C30" s="551"/>
      <c r="D30" s="552"/>
      <c r="E30" s="553">
        <f t="shared" si="0"/>
        <v>0</v>
      </c>
      <c r="F30" s="593">
        <f t="shared" si="1"/>
        <v>0</v>
      </c>
      <c r="G30" s="553"/>
      <c r="H30" s="624">
        <f t="shared" si="2"/>
        <v>0</v>
      </c>
      <c r="I30" s="553">
        <v>0</v>
      </c>
      <c r="J30" s="622">
        <f>+'6-True-Up Interest'!G53</f>
        <v>0</v>
      </c>
      <c r="K30" s="555">
        <f t="shared" si="3"/>
        <v>0</v>
      </c>
    </row>
    <row r="31" spans="1:11">
      <c r="A31" s="70" t="s">
        <v>897</v>
      </c>
      <c r="B31" s="551"/>
      <c r="C31" s="551"/>
      <c r="D31" s="552"/>
      <c r="E31" s="553">
        <f t="shared" si="0"/>
        <v>0</v>
      </c>
      <c r="F31" s="593">
        <f t="shared" si="1"/>
        <v>0</v>
      </c>
      <c r="G31" s="553"/>
      <c r="H31" s="624">
        <f t="shared" si="2"/>
        <v>0</v>
      </c>
      <c r="I31" s="553">
        <v>0</v>
      </c>
      <c r="J31" s="622">
        <f>+'6-True-Up Interest'!G54</f>
        <v>0</v>
      </c>
      <c r="K31" s="555">
        <f t="shared" si="3"/>
        <v>0</v>
      </c>
    </row>
    <row r="32" spans="1:11">
      <c r="A32" s="70" t="s">
        <v>898</v>
      </c>
      <c r="B32" s="551"/>
      <c r="C32" s="551"/>
      <c r="D32" s="552"/>
      <c r="E32" s="553">
        <f t="shared" si="0"/>
        <v>0</v>
      </c>
      <c r="F32" s="593">
        <f t="shared" si="1"/>
        <v>0</v>
      </c>
      <c r="G32" s="553"/>
      <c r="H32" s="624">
        <f t="shared" si="2"/>
        <v>0</v>
      </c>
      <c r="I32" s="553">
        <v>0</v>
      </c>
      <c r="J32" s="622">
        <f>+'6-True-Up Interest'!G55</f>
        <v>0</v>
      </c>
      <c r="K32" s="555">
        <f t="shared" si="3"/>
        <v>0</v>
      </c>
    </row>
    <row r="33" spans="1:11">
      <c r="A33" s="70" t="s">
        <v>899</v>
      </c>
      <c r="B33" s="551"/>
      <c r="C33" s="551"/>
      <c r="D33" s="552"/>
      <c r="E33" s="553">
        <f t="shared" si="0"/>
        <v>0</v>
      </c>
      <c r="F33" s="593">
        <f t="shared" si="1"/>
        <v>0</v>
      </c>
      <c r="G33" s="553"/>
      <c r="H33" s="624">
        <f t="shared" si="2"/>
        <v>0</v>
      </c>
      <c r="I33" s="553">
        <v>0</v>
      </c>
      <c r="J33" s="622">
        <f>+'6-True-Up Interest'!G56</f>
        <v>0</v>
      </c>
      <c r="K33" s="555">
        <f t="shared" si="3"/>
        <v>0</v>
      </c>
    </row>
    <row r="34" spans="1:11">
      <c r="A34" s="70" t="s">
        <v>900</v>
      </c>
      <c r="B34" s="551"/>
      <c r="C34" s="551"/>
      <c r="D34" s="552"/>
      <c r="E34" s="553">
        <f t="shared" si="0"/>
        <v>0</v>
      </c>
      <c r="F34" s="593">
        <f t="shared" si="1"/>
        <v>0</v>
      </c>
      <c r="G34" s="553"/>
      <c r="H34" s="624">
        <f t="shared" si="2"/>
        <v>0</v>
      </c>
      <c r="I34" s="553">
        <v>0</v>
      </c>
      <c r="J34" s="622">
        <f>+'6-True-Up Interest'!G57</f>
        <v>0</v>
      </c>
      <c r="K34" s="555">
        <f t="shared" si="3"/>
        <v>0</v>
      </c>
    </row>
    <row r="35" spans="1:11">
      <c r="A35" s="70" t="s">
        <v>901</v>
      </c>
      <c r="B35" s="551"/>
      <c r="C35" s="551"/>
      <c r="D35" s="552"/>
      <c r="E35" s="553">
        <f t="shared" si="0"/>
        <v>0</v>
      </c>
      <c r="F35" s="593">
        <f t="shared" si="1"/>
        <v>0</v>
      </c>
      <c r="G35" s="553"/>
      <c r="H35" s="624">
        <f t="shared" si="2"/>
        <v>0</v>
      </c>
      <c r="I35" s="553">
        <v>0</v>
      </c>
      <c r="J35" s="622">
        <f>+'6-True-Up Interest'!G58</f>
        <v>0</v>
      </c>
      <c r="K35" s="555">
        <f t="shared" si="3"/>
        <v>0</v>
      </c>
    </row>
    <row r="36" spans="1:11">
      <c r="A36" s="70" t="s">
        <v>902</v>
      </c>
      <c r="B36" s="551"/>
      <c r="C36" s="551"/>
      <c r="D36" s="552"/>
      <c r="E36" s="553">
        <f t="shared" si="0"/>
        <v>0</v>
      </c>
      <c r="F36" s="593">
        <f t="shared" si="1"/>
        <v>0</v>
      </c>
      <c r="G36" s="553"/>
      <c r="H36" s="624">
        <f t="shared" si="2"/>
        <v>0</v>
      </c>
      <c r="I36" s="553">
        <v>0</v>
      </c>
      <c r="J36" s="622">
        <f>+'6-True-Up Interest'!G59</f>
        <v>0</v>
      </c>
      <c r="K36" s="555">
        <f t="shared" si="3"/>
        <v>0</v>
      </c>
    </row>
    <row r="37" spans="1:11">
      <c r="A37" s="70" t="s">
        <v>903</v>
      </c>
      <c r="B37" s="551"/>
      <c r="C37" s="551"/>
      <c r="D37" s="552"/>
      <c r="E37" s="553">
        <f t="shared" si="0"/>
        <v>0</v>
      </c>
      <c r="F37" s="593">
        <f t="shared" si="1"/>
        <v>0</v>
      </c>
      <c r="G37" s="553"/>
      <c r="H37" s="624">
        <f t="shared" si="2"/>
        <v>0</v>
      </c>
      <c r="I37" s="553">
        <v>0</v>
      </c>
      <c r="J37" s="622">
        <f>+'6-True-Up Interest'!G60</f>
        <v>0</v>
      </c>
      <c r="K37" s="555">
        <f t="shared" si="3"/>
        <v>0</v>
      </c>
    </row>
    <row r="38" spans="1:11">
      <c r="A38" s="70" t="s">
        <v>904</v>
      </c>
      <c r="B38" s="551"/>
      <c r="C38" s="551"/>
      <c r="D38" s="552"/>
      <c r="E38" s="553">
        <f t="shared" si="0"/>
        <v>0</v>
      </c>
      <c r="F38" s="593">
        <f t="shared" si="1"/>
        <v>0</v>
      </c>
      <c r="G38" s="553"/>
      <c r="H38" s="624">
        <f t="shared" si="2"/>
        <v>0</v>
      </c>
      <c r="I38" s="553">
        <v>0</v>
      </c>
      <c r="J38" s="622">
        <f>+'6-True-Up Interest'!G61</f>
        <v>0</v>
      </c>
      <c r="K38" s="555">
        <f t="shared" si="3"/>
        <v>0</v>
      </c>
    </row>
    <row r="39" spans="1:11">
      <c r="A39" s="70" t="s">
        <v>905</v>
      </c>
      <c r="B39" s="551"/>
      <c r="C39" s="551"/>
      <c r="D39" s="552"/>
      <c r="E39" s="553">
        <f t="shared" si="0"/>
        <v>0</v>
      </c>
      <c r="F39" s="593">
        <f t="shared" si="1"/>
        <v>0</v>
      </c>
      <c r="G39" s="553"/>
      <c r="H39" s="624">
        <f t="shared" si="2"/>
        <v>0</v>
      </c>
      <c r="I39" s="553">
        <v>0</v>
      </c>
      <c r="J39" s="622">
        <f>+'6-True-Up Interest'!G62</f>
        <v>0</v>
      </c>
      <c r="K39" s="555">
        <f t="shared" si="3"/>
        <v>0</v>
      </c>
    </row>
    <row r="40" spans="1:11">
      <c r="A40" s="70" t="s">
        <v>906</v>
      </c>
      <c r="B40" s="551"/>
      <c r="C40" s="551"/>
      <c r="D40" s="552"/>
      <c r="E40" s="553">
        <f t="shared" si="0"/>
        <v>0</v>
      </c>
      <c r="F40" s="593">
        <f t="shared" si="1"/>
        <v>0</v>
      </c>
      <c r="G40" s="553"/>
      <c r="H40" s="624">
        <f t="shared" si="2"/>
        <v>0</v>
      </c>
      <c r="I40" s="553">
        <v>0</v>
      </c>
      <c r="J40" s="622">
        <f>+'6-True-Up Interest'!G63</f>
        <v>0</v>
      </c>
      <c r="K40" s="555">
        <f t="shared" si="3"/>
        <v>0</v>
      </c>
    </row>
    <row r="41" spans="1:11">
      <c r="A41" s="70" t="s">
        <v>907</v>
      </c>
      <c r="B41" s="551"/>
      <c r="C41" s="551"/>
      <c r="D41" s="552"/>
      <c r="E41" s="553">
        <f t="shared" si="0"/>
        <v>0</v>
      </c>
      <c r="F41" s="593">
        <f t="shared" si="1"/>
        <v>0</v>
      </c>
      <c r="G41" s="553"/>
      <c r="H41" s="624">
        <f t="shared" si="2"/>
        <v>0</v>
      </c>
      <c r="I41" s="553">
        <v>0</v>
      </c>
      <c r="J41" s="622">
        <f>+'6-True-Up Interest'!G64</f>
        <v>0</v>
      </c>
      <c r="K41" s="555">
        <f t="shared" si="3"/>
        <v>0</v>
      </c>
    </row>
    <row r="42" spans="1:11">
      <c r="A42" s="70" t="s">
        <v>908</v>
      </c>
      <c r="B42" s="551"/>
      <c r="C42" s="551"/>
      <c r="D42" s="552"/>
      <c r="E42" s="553">
        <f t="shared" si="0"/>
        <v>0</v>
      </c>
      <c r="F42" s="593">
        <f t="shared" si="1"/>
        <v>0</v>
      </c>
      <c r="G42" s="553"/>
      <c r="H42" s="624">
        <f t="shared" si="2"/>
        <v>0</v>
      </c>
      <c r="I42" s="553">
        <v>0</v>
      </c>
      <c r="J42" s="622">
        <f>+'6-True-Up Interest'!G65</f>
        <v>0</v>
      </c>
      <c r="K42" s="555">
        <f t="shared" si="3"/>
        <v>0</v>
      </c>
    </row>
    <row r="43" spans="1:11">
      <c r="A43" s="211"/>
      <c r="B43" s="551"/>
      <c r="C43" s="551"/>
      <c r="D43" s="552"/>
      <c r="E43" s="553">
        <f t="shared" si="0"/>
        <v>0</v>
      </c>
      <c r="F43" s="593">
        <f t="shared" si="1"/>
        <v>0</v>
      </c>
      <c r="G43" s="553"/>
      <c r="H43" s="624">
        <f t="shared" si="2"/>
        <v>0</v>
      </c>
      <c r="I43" s="553">
        <v>0</v>
      </c>
      <c r="J43" s="622">
        <f>+'6-True-Up Interest'!G66</f>
        <v>0</v>
      </c>
      <c r="K43" s="555">
        <f t="shared" si="3"/>
        <v>0</v>
      </c>
    </row>
    <row r="44" spans="1:11" ht="13.5" customHeight="1">
      <c r="A44" s="211"/>
      <c r="B44" s="551"/>
      <c r="C44" s="551"/>
      <c r="D44" s="552"/>
      <c r="E44" s="553"/>
      <c r="F44" s="593"/>
      <c r="G44" s="553"/>
      <c r="H44" s="554"/>
      <c r="I44" s="553"/>
      <c r="J44" s="623"/>
      <c r="K44" s="555"/>
    </row>
    <row r="45" spans="1:11" ht="13.5" customHeight="1">
      <c r="A45" s="211"/>
      <c r="B45" s="551"/>
      <c r="C45" s="551"/>
      <c r="D45" s="552"/>
      <c r="E45" s="553"/>
      <c r="F45" s="593"/>
      <c r="G45" s="553"/>
      <c r="H45" s="554"/>
      <c r="I45" s="553"/>
      <c r="J45" s="623"/>
      <c r="K45" s="555"/>
    </row>
    <row r="46" spans="1:11">
      <c r="A46" s="211"/>
      <c r="B46" s="551"/>
      <c r="C46" s="551"/>
      <c r="D46" s="552"/>
      <c r="E46" s="553"/>
      <c r="F46" s="593"/>
      <c r="G46" s="553"/>
      <c r="H46" s="554"/>
      <c r="I46" s="553"/>
      <c r="J46" s="623"/>
      <c r="K46" s="555"/>
    </row>
    <row r="47" spans="1:11">
      <c r="A47" s="211"/>
      <c r="B47" s="462"/>
      <c r="C47" s="462"/>
      <c r="D47" s="209"/>
      <c r="E47" s="463"/>
      <c r="F47" s="120"/>
      <c r="G47" s="626"/>
      <c r="H47" s="625"/>
      <c r="I47" s="462"/>
      <c r="J47" s="462"/>
      <c r="K47" s="462"/>
    </row>
    <row r="48" spans="1:11">
      <c r="A48" s="211">
        <v>4</v>
      </c>
      <c r="B48" s="117" t="s">
        <v>388</v>
      </c>
      <c r="C48" s="117"/>
      <c r="D48" s="80">
        <f>SUM(D18:D47)</f>
        <v>0</v>
      </c>
      <c r="E48" s="80">
        <f>SUM(E18:E47)</f>
        <v>0</v>
      </c>
      <c r="F48" s="80">
        <f>SUM(F18:F47)</f>
        <v>0</v>
      </c>
      <c r="G48" s="80">
        <f>SUM(G18:G47)</f>
        <v>0</v>
      </c>
      <c r="H48" s="80">
        <f>SUM(H18:H47)</f>
        <v>0</v>
      </c>
      <c r="I48" s="80"/>
      <c r="J48" s="80">
        <f>SUM(J18:J47)</f>
        <v>0</v>
      </c>
      <c r="K48" s="80">
        <f>SUM(K18:K47)</f>
        <v>0</v>
      </c>
    </row>
    <row r="49" spans="1:12">
      <c r="A49" s="211"/>
      <c r="B49" s="117"/>
      <c r="C49" s="117"/>
      <c r="D49" s="80"/>
      <c r="E49" s="80"/>
      <c r="F49" s="80"/>
      <c r="G49" s="80"/>
      <c r="H49" s="80"/>
      <c r="I49" s="80"/>
      <c r="J49" s="80"/>
      <c r="K49" s="80"/>
    </row>
    <row r="50" spans="1:12">
      <c r="A50" s="211"/>
      <c r="B50" s="117"/>
      <c r="C50" s="117"/>
      <c r="D50" s="80"/>
      <c r="E50" s="80"/>
      <c r="F50" s="80"/>
      <c r="G50" s="80" t="s">
        <v>380</v>
      </c>
      <c r="H50" s="80"/>
      <c r="I50" s="80"/>
      <c r="J50" s="80">
        <f>'6-True-Up Interest'!E26</f>
        <v>0</v>
      </c>
      <c r="K50" s="80"/>
    </row>
    <row r="51" spans="1:12">
      <c r="A51" s="211"/>
      <c r="B51" s="117"/>
      <c r="C51" s="117"/>
      <c r="D51" s="80"/>
      <c r="E51" s="80"/>
      <c r="F51" s="80"/>
      <c r="G51" s="80" t="s">
        <v>381</v>
      </c>
      <c r="H51" s="80"/>
      <c r="I51" s="80"/>
      <c r="J51" s="80">
        <f>+J48</f>
        <v>0</v>
      </c>
      <c r="K51" s="80"/>
    </row>
    <row r="52" spans="1:12">
      <c r="A52" s="211"/>
      <c r="B52" s="117" t="s">
        <v>192</v>
      </c>
      <c r="C52" s="117"/>
      <c r="D52" s="117"/>
      <c r="E52" s="117"/>
      <c r="F52" s="117"/>
      <c r="G52" s="117"/>
      <c r="H52" s="117"/>
      <c r="I52" s="117"/>
      <c r="J52" s="117"/>
      <c r="K52" s="117"/>
      <c r="L52" s="117"/>
    </row>
    <row r="53" spans="1:12">
      <c r="A53" s="211"/>
      <c r="B53" s="117" t="s">
        <v>447</v>
      </c>
      <c r="C53" s="117"/>
      <c r="D53" s="117"/>
      <c r="E53" s="117"/>
      <c r="F53" s="117"/>
      <c r="G53" s="117"/>
      <c r="H53" s="117"/>
      <c r="I53" s="117"/>
      <c r="J53" s="117"/>
      <c r="K53" s="117"/>
      <c r="L53" s="117"/>
    </row>
    <row r="54" spans="1:12">
      <c r="A54" s="211"/>
      <c r="B54" s="117" t="s">
        <v>463</v>
      </c>
      <c r="C54" s="117"/>
      <c r="D54" s="117"/>
      <c r="E54" s="117"/>
      <c r="F54" s="117"/>
      <c r="G54" s="117"/>
      <c r="H54" s="117"/>
      <c r="I54" s="117"/>
      <c r="J54" s="117"/>
      <c r="K54" s="117"/>
      <c r="L54" s="117"/>
    </row>
    <row r="55" spans="1:12">
      <c r="A55" s="211"/>
      <c r="B55" s="117" t="s">
        <v>453</v>
      </c>
      <c r="C55" s="117"/>
      <c r="D55" s="117"/>
      <c r="E55" s="117"/>
      <c r="F55" s="117"/>
      <c r="G55" s="117"/>
      <c r="H55" s="117"/>
      <c r="I55" s="117"/>
      <c r="J55" s="117"/>
      <c r="K55" s="117"/>
      <c r="L55" s="117"/>
    </row>
    <row r="56" spans="1:12">
      <c r="A56" s="211"/>
      <c r="B56" s="219" t="s">
        <v>454</v>
      </c>
      <c r="C56" s="117"/>
      <c r="D56" s="117"/>
      <c r="E56" s="117"/>
      <c r="F56" s="117"/>
      <c r="G56" s="117"/>
      <c r="H56" s="117"/>
      <c r="I56" s="117"/>
      <c r="J56" s="117"/>
      <c r="K56" s="117"/>
      <c r="L56" s="117"/>
    </row>
    <row r="57" spans="1:12">
      <c r="A57" s="211"/>
      <c r="B57" s="219" t="s">
        <v>483</v>
      </c>
      <c r="C57" s="117"/>
      <c r="D57" s="117"/>
      <c r="E57" s="117"/>
      <c r="F57" s="117"/>
      <c r="G57" s="117"/>
      <c r="H57" s="117"/>
      <c r="I57" s="117"/>
      <c r="J57" s="117"/>
      <c r="K57" s="117"/>
      <c r="L57" s="117"/>
    </row>
    <row r="58" spans="1:12">
      <c r="A58" s="211"/>
      <c r="B58" s="117" t="s">
        <v>443</v>
      </c>
      <c r="C58" s="117"/>
      <c r="D58" s="117"/>
      <c r="E58" s="117"/>
      <c r="F58" s="117"/>
      <c r="G58" s="117"/>
      <c r="H58" s="117"/>
      <c r="I58" s="117"/>
      <c r="J58" s="117"/>
      <c r="K58" s="117"/>
      <c r="L58" s="117"/>
    </row>
    <row r="59" spans="1:12">
      <c r="A59" s="211"/>
      <c r="B59" s="197" t="s">
        <v>455</v>
      </c>
      <c r="C59" s="117"/>
      <c r="D59" s="117"/>
      <c r="E59" s="117"/>
      <c r="F59" s="117"/>
      <c r="G59" s="117"/>
      <c r="H59" s="117"/>
      <c r="I59" s="117"/>
      <c r="J59" s="117"/>
      <c r="K59" s="117"/>
      <c r="L59" s="117"/>
    </row>
    <row r="60" spans="1:12">
      <c r="A60" s="211"/>
      <c r="J60" s="117"/>
      <c r="K60" s="117"/>
      <c r="L60" s="117"/>
    </row>
    <row r="61" spans="1:12">
      <c r="A61" s="211"/>
      <c r="C61" s="117"/>
      <c r="D61" s="117"/>
      <c r="E61" s="117"/>
      <c r="F61" s="117"/>
      <c r="G61" s="117"/>
      <c r="H61" s="117"/>
      <c r="I61" s="117"/>
      <c r="J61" s="117"/>
      <c r="K61" s="117"/>
      <c r="L61" s="117"/>
    </row>
    <row r="62" spans="1:12">
      <c r="A62" s="211"/>
      <c r="C62" s="117"/>
      <c r="D62" s="117"/>
      <c r="E62" s="117"/>
      <c r="F62" s="117"/>
      <c r="G62" s="117"/>
      <c r="H62" s="117"/>
      <c r="I62" s="117"/>
      <c r="J62" s="117"/>
      <c r="K62" s="117"/>
      <c r="L62" s="117"/>
    </row>
    <row r="63" spans="1:12">
      <c r="A63" s="211"/>
      <c r="B63" s="464"/>
      <c r="C63" s="464"/>
      <c r="D63" s="84"/>
      <c r="E63" s="84"/>
      <c r="F63" s="84"/>
      <c r="G63" s="84"/>
      <c r="H63" s="84"/>
      <c r="I63" s="464"/>
      <c r="J63" s="464"/>
    </row>
    <row r="64" spans="1:12">
      <c r="A64" s="210" t="s">
        <v>960</v>
      </c>
      <c r="C64" s="464"/>
      <c r="D64" s="84"/>
      <c r="E64" s="84"/>
      <c r="F64" s="84"/>
      <c r="G64" s="84"/>
      <c r="H64" s="84"/>
      <c r="I64" s="464"/>
      <c r="J64" s="464"/>
    </row>
    <row r="65" spans="1:10">
      <c r="A65" s="211"/>
      <c r="B65" s="221" t="s">
        <v>209</v>
      </c>
      <c r="C65" s="198" t="s">
        <v>210</v>
      </c>
      <c r="D65" s="465" t="s">
        <v>211</v>
      </c>
      <c r="E65" s="465" t="s">
        <v>212</v>
      </c>
      <c r="F65" s="221"/>
      <c r="J65" s="464"/>
    </row>
    <row r="66" spans="1:10">
      <c r="A66" s="211"/>
      <c r="B66" s="199" t="str">
        <f>+A64</f>
        <v>Prior Period Adjustments</v>
      </c>
      <c r="C66" s="200" t="s">
        <v>11</v>
      </c>
      <c r="D66" s="200" t="s">
        <v>317</v>
      </c>
      <c r="E66" s="200" t="s">
        <v>13</v>
      </c>
      <c r="J66" s="464"/>
    </row>
    <row r="67" spans="1:10">
      <c r="A67" s="211"/>
      <c r="B67" s="466" t="s">
        <v>419</v>
      </c>
      <c r="C67" s="467" t="s">
        <v>382</v>
      </c>
      <c r="D67" s="467" t="s">
        <v>351</v>
      </c>
      <c r="E67" s="467" t="s">
        <v>383</v>
      </c>
      <c r="J67" s="464"/>
    </row>
    <row r="68" spans="1:10">
      <c r="A68" s="211" t="s">
        <v>139</v>
      </c>
      <c r="B68" s="558">
        <v>0</v>
      </c>
      <c r="C68" s="559">
        <v>0</v>
      </c>
      <c r="D68" s="559">
        <v>0</v>
      </c>
      <c r="E68" s="560">
        <f>+C68+D68</f>
        <v>0</v>
      </c>
      <c r="J68" s="464"/>
    </row>
    <row r="69" spans="1:10">
      <c r="A69" s="211"/>
      <c r="B69" s="201"/>
      <c r="C69" s="14"/>
      <c r="D69" s="14"/>
      <c r="E69" s="167"/>
      <c r="J69" s="464"/>
    </row>
    <row r="70" spans="1:10">
      <c r="A70" s="211"/>
      <c r="C70" s="464"/>
      <c r="D70" s="464"/>
      <c r="E70" s="464"/>
      <c r="F70" s="464"/>
      <c r="G70" s="464"/>
      <c r="H70" s="96"/>
      <c r="J70" s="464"/>
    </row>
    <row r="71" spans="1:10" ht="66" customHeight="1">
      <c r="A71" s="211"/>
      <c r="C71" s="116"/>
      <c r="D71" s="468"/>
      <c r="E71" s="468"/>
      <c r="F71" s="468"/>
      <c r="G71" s="468"/>
      <c r="H71" s="468"/>
      <c r="I71" s="468"/>
      <c r="J71" s="464"/>
    </row>
    <row r="72" spans="1:10" ht="56.25" customHeight="1">
      <c r="A72" s="212" t="s">
        <v>192</v>
      </c>
      <c r="B72" s="78" t="s">
        <v>63</v>
      </c>
      <c r="C72" s="987" t="s">
        <v>469</v>
      </c>
      <c r="D72" s="987"/>
      <c r="E72" s="987"/>
      <c r="F72" s="987"/>
      <c r="G72" s="987"/>
      <c r="H72" s="987"/>
      <c r="I72" s="987"/>
      <c r="J72" s="987"/>
    </row>
    <row r="73" spans="1:10" ht="27" customHeight="1">
      <c r="A73" s="211"/>
      <c r="B73" s="202" t="s">
        <v>64</v>
      </c>
      <c r="C73" s="982" t="s">
        <v>420</v>
      </c>
      <c r="D73" s="982"/>
      <c r="E73" s="982"/>
      <c r="F73" s="982"/>
      <c r="G73" s="982"/>
      <c r="H73" s="982"/>
      <c r="I73" s="982"/>
      <c r="J73" s="464"/>
    </row>
    <row r="77" spans="1:10" ht="24" customHeight="1"/>
  </sheetData>
  <mergeCells count="6">
    <mergeCell ref="B16:B17"/>
    <mergeCell ref="C73:I73"/>
    <mergeCell ref="D10:E10"/>
    <mergeCell ref="D11:E11"/>
    <mergeCell ref="C72:J72"/>
    <mergeCell ref="C16:C17"/>
  </mergeCells>
  <phoneticPr fontId="0" type="noConversion"/>
  <pageMargins left="0.25" right="0.25" top="0.75" bottom="0.75" header="0.3" footer="0.3"/>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topLeftCell="B37" zoomScale="70" zoomScaleNormal="70" zoomScaleSheetLayoutView="70" workbookViewId="0">
      <selection activeCell="I60" sqref="I60"/>
    </sheetView>
  </sheetViews>
  <sheetFormatPr defaultColWidth="8.88671875" defaultRowHeight="12.75"/>
  <cols>
    <col min="1" max="1" width="4.88671875" style="469" customWidth="1"/>
    <col min="2" max="2" width="29" style="116" bestFit="1" customWidth="1"/>
    <col min="3" max="3" width="32.21875" style="116" customWidth="1"/>
    <col min="4" max="4" width="19.21875" style="116" customWidth="1"/>
    <col min="5" max="5" width="16" style="116" customWidth="1"/>
    <col min="6" max="6" width="17.33203125" style="116" customWidth="1"/>
    <col min="7" max="7" width="18.21875" style="116" customWidth="1"/>
    <col min="8" max="8" width="18" style="116" customWidth="1"/>
    <col min="9" max="9" width="21.44140625" style="116" customWidth="1"/>
    <col min="10" max="10" width="20.33203125" style="116" customWidth="1"/>
    <col min="11" max="14" width="11.77734375" style="116" customWidth="1"/>
    <col min="15" max="16384" width="8.88671875" style="116"/>
  </cols>
  <sheetData>
    <row r="1" spans="1:12">
      <c r="C1" s="121"/>
      <c r="D1" s="121"/>
      <c r="E1" s="121"/>
      <c r="G1" s="364" t="s">
        <v>201</v>
      </c>
      <c r="H1" s="121"/>
      <c r="I1" s="121"/>
      <c r="L1" s="470" t="s">
        <v>465</v>
      </c>
    </row>
    <row r="2" spans="1:12">
      <c r="A2" s="193"/>
      <c r="C2" s="121"/>
      <c r="D2" s="121"/>
      <c r="E2" s="121"/>
      <c r="F2" s="121"/>
      <c r="G2" s="369" t="s">
        <v>275</v>
      </c>
      <c r="H2" s="121"/>
      <c r="I2" s="121"/>
      <c r="J2" s="121"/>
      <c r="L2" s="366"/>
    </row>
    <row r="3" spans="1:12">
      <c r="A3" s="193"/>
      <c r="C3" s="121"/>
      <c r="D3" s="121"/>
      <c r="E3" s="121"/>
      <c r="F3" s="121"/>
      <c r="G3" s="225" t="str">
        <f>+'Attachment H-7'!D5</f>
        <v>PECO Energy Company</v>
      </c>
      <c r="H3" s="121"/>
      <c r="I3" s="121"/>
      <c r="J3" s="121"/>
    </row>
    <row r="4" spans="1:12">
      <c r="A4" s="193"/>
      <c r="C4" s="121"/>
      <c r="D4" s="121"/>
      <c r="E4" s="121"/>
      <c r="F4" s="121"/>
      <c r="G4" s="121"/>
      <c r="H4" s="121"/>
      <c r="I4" s="121"/>
      <c r="J4" s="121"/>
    </row>
    <row r="5" spans="1:12">
      <c r="A5" s="193"/>
      <c r="B5" s="471"/>
      <c r="C5" s="471"/>
      <c r="D5" s="471"/>
      <c r="E5" s="471"/>
      <c r="F5" s="471"/>
      <c r="G5" s="471"/>
      <c r="H5" s="471"/>
      <c r="I5" s="471"/>
      <c r="J5" s="471"/>
    </row>
    <row r="6" spans="1:12">
      <c r="A6" s="193"/>
      <c r="B6" s="471"/>
      <c r="C6" s="995" t="s">
        <v>220</v>
      </c>
      <c r="D6" s="996"/>
      <c r="E6" s="997"/>
      <c r="F6" s="472" t="s">
        <v>222</v>
      </c>
      <c r="G6" s="533" t="s">
        <v>223</v>
      </c>
      <c r="H6" s="533" t="s">
        <v>221</v>
      </c>
      <c r="I6" s="533"/>
      <c r="J6" s="992" t="s">
        <v>219</v>
      </c>
      <c r="K6" s="993"/>
      <c r="L6" s="994"/>
    </row>
    <row r="7" spans="1:12" s="474" customFormat="1" ht="25.5">
      <c r="A7" s="473" t="s">
        <v>208</v>
      </c>
      <c r="B7" s="194" t="s">
        <v>174</v>
      </c>
      <c r="C7" s="194" t="s">
        <v>17</v>
      </c>
      <c r="D7" s="194" t="s">
        <v>694</v>
      </c>
      <c r="E7" s="483" t="s">
        <v>748</v>
      </c>
      <c r="F7" s="194" t="s">
        <v>421</v>
      </c>
      <c r="G7" s="194" t="s">
        <v>175</v>
      </c>
      <c r="H7" s="194" t="s">
        <v>176</v>
      </c>
      <c r="I7" s="194" t="s">
        <v>177</v>
      </c>
      <c r="J7" s="194" t="s">
        <v>17</v>
      </c>
      <c r="K7" s="194" t="s">
        <v>694</v>
      </c>
      <c r="L7" s="483" t="s">
        <v>748</v>
      </c>
    </row>
    <row r="8" spans="1:12" s="434" customFormat="1">
      <c r="A8" s="193"/>
      <c r="B8" s="472" t="s">
        <v>209</v>
      </c>
      <c r="C8" s="472" t="s">
        <v>210</v>
      </c>
      <c r="D8" s="472" t="s">
        <v>211</v>
      </c>
      <c r="E8" s="194" t="s">
        <v>212</v>
      </c>
      <c r="F8" s="194" t="s">
        <v>214</v>
      </c>
      <c r="G8" s="194" t="s">
        <v>213</v>
      </c>
      <c r="H8" s="194" t="s">
        <v>215</v>
      </c>
      <c r="I8" s="1" t="s">
        <v>216</v>
      </c>
      <c r="J8" s="1" t="s">
        <v>217</v>
      </c>
      <c r="K8" s="1" t="s">
        <v>259</v>
      </c>
      <c r="L8" s="1" t="s">
        <v>263</v>
      </c>
    </row>
    <row r="9" spans="1:12" s="434" customFormat="1">
      <c r="A9" s="193"/>
      <c r="B9" s="204" t="s">
        <v>423</v>
      </c>
      <c r="C9" s="369">
        <v>2</v>
      </c>
      <c r="D9" s="369">
        <v>4</v>
      </c>
      <c r="E9" s="540">
        <v>5</v>
      </c>
      <c r="F9" s="538">
        <v>27</v>
      </c>
      <c r="G9" s="538">
        <v>31</v>
      </c>
      <c r="H9" s="538">
        <v>34</v>
      </c>
      <c r="I9" s="538">
        <v>35</v>
      </c>
      <c r="J9" s="539">
        <v>9</v>
      </c>
      <c r="K9" s="539">
        <v>11</v>
      </c>
      <c r="L9" s="540">
        <v>12</v>
      </c>
    </row>
    <row r="10" spans="1:12" s="434" customFormat="1" ht="77.25" customHeight="1">
      <c r="A10" s="193"/>
      <c r="B10" s="472"/>
      <c r="C10" s="475" t="s">
        <v>702</v>
      </c>
      <c r="D10" s="335" t="s">
        <v>701</v>
      </c>
      <c r="E10" s="476" t="s">
        <v>1137</v>
      </c>
      <c r="F10" s="476" t="s">
        <v>109</v>
      </c>
      <c r="G10" s="335" t="s">
        <v>948</v>
      </c>
      <c r="H10" s="335" t="s">
        <v>950</v>
      </c>
      <c r="I10" s="335" t="s">
        <v>326</v>
      </c>
      <c r="J10" s="335" t="s">
        <v>498</v>
      </c>
      <c r="K10" s="335" t="s">
        <v>693</v>
      </c>
      <c r="L10" s="476" t="s">
        <v>1137</v>
      </c>
    </row>
    <row r="11" spans="1:12">
      <c r="A11" s="193">
        <v>1</v>
      </c>
      <c r="B11" s="477" t="s">
        <v>206</v>
      </c>
      <c r="C11" s="570">
        <v>1454810923</v>
      </c>
      <c r="D11" s="570">
        <v>235764213</v>
      </c>
      <c r="E11" s="570">
        <v>526823778.76859498</v>
      </c>
      <c r="F11" s="570">
        <v>0</v>
      </c>
      <c r="G11" s="570">
        <v>1127274.51</v>
      </c>
      <c r="H11" s="570">
        <v>12954107.362802207</v>
      </c>
      <c r="I11" s="571">
        <v>1590662.7088784028</v>
      </c>
      <c r="J11" s="571">
        <v>480585852</v>
      </c>
      <c r="K11" s="571">
        <v>54398462</v>
      </c>
      <c r="L11" s="571">
        <v>249457293.33102202</v>
      </c>
    </row>
    <row r="12" spans="1:12">
      <c r="A12" s="193">
        <v>2</v>
      </c>
      <c r="B12" s="477" t="s">
        <v>89</v>
      </c>
      <c r="C12" s="570">
        <v>1455430125</v>
      </c>
      <c r="D12" s="570">
        <v>242085871</v>
      </c>
      <c r="E12" s="571">
        <v>530029408.18380004</v>
      </c>
      <c r="F12" s="570">
        <f>+F23-F11</f>
        <v>0</v>
      </c>
      <c r="G12" s="570">
        <v>1127274.51</v>
      </c>
      <c r="H12" s="570">
        <v>13198269.527043898</v>
      </c>
      <c r="I12" s="570">
        <v>1474925.2815014613</v>
      </c>
      <c r="J12" s="571">
        <v>480919875</v>
      </c>
      <c r="K12" s="571">
        <v>55543528</v>
      </c>
      <c r="L12" s="571">
        <v>251960465.67140001</v>
      </c>
    </row>
    <row r="13" spans="1:12">
      <c r="A13" s="193">
        <v>3</v>
      </c>
      <c r="B13" s="121" t="s">
        <v>88</v>
      </c>
      <c r="C13" s="570">
        <v>1457285279</v>
      </c>
      <c r="D13" s="570">
        <v>244830106</v>
      </c>
      <c r="E13" s="571">
        <v>531557656.84300005</v>
      </c>
      <c r="F13" s="570">
        <f>+F12/12</f>
        <v>0</v>
      </c>
      <c r="G13" s="570">
        <v>1127274.51</v>
      </c>
      <c r="H13" s="570">
        <v>13153882.341883754</v>
      </c>
      <c r="I13" s="570">
        <v>1167915.3187870081</v>
      </c>
      <c r="J13" s="571">
        <v>481663042</v>
      </c>
      <c r="K13" s="571">
        <v>56754099</v>
      </c>
      <c r="L13" s="571">
        <v>254461139.7227</v>
      </c>
    </row>
    <row r="14" spans="1:12">
      <c r="A14" s="193">
        <v>4</v>
      </c>
      <c r="B14" s="121" t="s">
        <v>178</v>
      </c>
      <c r="C14" s="570">
        <v>1459094086</v>
      </c>
      <c r="D14" s="570">
        <v>241086093</v>
      </c>
      <c r="E14" s="571">
        <v>530403643.35000002</v>
      </c>
      <c r="F14" s="570">
        <v>0</v>
      </c>
      <c r="G14" s="570">
        <v>1127274.51</v>
      </c>
      <c r="H14" s="570">
        <v>13070207.829713734</v>
      </c>
      <c r="I14" s="570">
        <v>1489936.1078157504</v>
      </c>
      <c r="J14" s="571">
        <v>483071231</v>
      </c>
      <c r="K14" s="571">
        <v>58055176</v>
      </c>
      <c r="L14" s="571">
        <v>253467690.00700003</v>
      </c>
    </row>
    <row r="15" spans="1:12">
      <c r="A15" s="193">
        <v>5</v>
      </c>
      <c r="B15" s="121" t="s">
        <v>79</v>
      </c>
      <c r="C15" s="570">
        <v>1460472187</v>
      </c>
      <c r="D15" s="570">
        <v>241741651</v>
      </c>
      <c r="E15" s="571">
        <v>531880380.68300003</v>
      </c>
      <c r="F15" s="570">
        <v>0</v>
      </c>
      <c r="G15" s="570">
        <v>1141404.6000000001</v>
      </c>
      <c r="H15" s="570">
        <v>13254834.56173199</v>
      </c>
      <c r="I15" s="570">
        <v>1274658.6676457874</v>
      </c>
      <c r="J15" s="571">
        <v>483460953</v>
      </c>
      <c r="K15" s="571">
        <v>59238002</v>
      </c>
      <c r="L15" s="571">
        <v>255903047.93620002</v>
      </c>
    </row>
    <row r="16" spans="1:12">
      <c r="A16" s="193">
        <v>6</v>
      </c>
      <c r="B16" s="121" t="s">
        <v>78</v>
      </c>
      <c r="C16" s="570">
        <v>1484134150</v>
      </c>
      <c r="D16" s="570">
        <v>242810787</v>
      </c>
      <c r="E16" s="571">
        <v>532280302.1771</v>
      </c>
      <c r="F16" s="570">
        <v>0</v>
      </c>
      <c r="G16" s="570">
        <v>1141404.6000000001</v>
      </c>
      <c r="H16" s="570">
        <v>12822380.728149254</v>
      </c>
      <c r="I16" s="570">
        <v>1381460.4171040021</v>
      </c>
      <c r="J16" s="571">
        <v>485036583</v>
      </c>
      <c r="K16" s="571">
        <v>60434890</v>
      </c>
      <c r="L16" s="571">
        <v>258340118.76000002</v>
      </c>
    </row>
    <row r="17" spans="1:12">
      <c r="A17" s="193">
        <v>7</v>
      </c>
      <c r="B17" s="121" t="s">
        <v>98</v>
      </c>
      <c r="C17" s="570">
        <v>1511180730</v>
      </c>
      <c r="D17" s="570">
        <v>248208961</v>
      </c>
      <c r="E17" s="571">
        <v>534376846.56040001</v>
      </c>
      <c r="F17" s="570">
        <v>0</v>
      </c>
      <c r="G17" s="570">
        <v>1141404.6000000001</v>
      </c>
      <c r="H17" s="570">
        <v>13101070.752456663</v>
      </c>
      <c r="I17" s="570">
        <v>1778639.2659293117</v>
      </c>
      <c r="J17" s="571">
        <v>474347769</v>
      </c>
      <c r="K17" s="571">
        <v>56739352</v>
      </c>
      <c r="L17" s="571">
        <v>253191364.02220002</v>
      </c>
    </row>
    <row r="18" spans="1:12">
      <c r="A18" s="193">
        <v>8</v>
      </c>
      <c r="B18" s="121" t="s">
        <v>86</v>
      </c>
      <c r="C18" s="570">
        <v>1510541869</v>
      </c>
      <c r="D18" s="570">
        <v>244968620</v>
      </c>
      <c r="E18" s="571">
        <v>529679272.51490003</v>
      </c>
      <c r="F18" s="570">
        <v>0</v>
      </c>
      <c r="G18" s="570">
        <v>1141404.6000000001</v>
      </c>
      <c r="H18" s="570">
        <v>13243817.129017785</v>
      </c>
      <c r="I18" s="570">
        <v>1417073.3936824445</v>
      </c>
      <c r="J18" s="571">
        <v>488061837</v>
      </c>
      <c r="K18" s="571">
        <v>56835224</v>
      </c>
      <c r="L18" s="571">
        <v>255541517.65750003</v>
      </c>
    </row>
    <row r="19" spans="1:12">
      <c r="A19" s="193">
        <v>9</v>
      </c>
      <c r="B19" s="121" t="s">
        <v>179</v>
      </c>
      <c r="C19" s="570">
        <v>1510973611</v>
      </c>
      <c r="D19" s="570">
        <v>245716282</v>
      </c>
      <c r="E19" s="571">
        <v>531682011.88790005</v>
      </c>
      <c r="F19" s="570">
        <v>0</v>
      </c>
      <c r="G19" s="570">
        <v>1141404.6000000001</v>
      </c>
      <c r="H19" s="570">
        <v>13204483.410115853</v>
      </c>
      <c r="I19" s="570">
        <v>1136311.2129292316</v>
      </c>
      <c r="J19" s="571">
        <v>489823078</v>
      </c>
      <c r="K19" s="571">
        <v>58134924</v>
      </c>
      <c r="L19" s="571">
        <v>257917093.67420003</v>
      </c>
    </row>
    <row r="20" spans="1:12">
      <c r="A20" s="193">
        <v>10</v>
      </c>
      <c r="B20" s="121" t="s">
        <v>84</v>
      </c>
      <c r="C20" s="570">
        <v>1512210333</v>
      </c>
      <c r="D20" s="570">
        <v>246716554</v>
      </c>
      <c r="E20" s="571">
        <v>533971332.5521</v>
      </c>
      <c r="F20" s="570">
        <v>0</v>
      </c>
      <c r="G20" s="570">
        <v>1141404.6000000001</v>
      </c>
      <c r="H20" s="570">
        <v>12826018.341968089</v>
      </c>
      <c r="I20" s="570">
        <v>1445046.1051116034</v>
      </c>
      <c r="J20" s="571">
        <v>489940758</v>
      </c>
      <c r="K20" s="571">
        <v>59615024</v>
      </c>
      <c r="L20" s="571">
        <v>259907381.07560003</v>
      </c>
    </row>
    <row r="21" spans="1:12">
      <c r="A21" s="193">
        <v>11</v>
      </c>
      <c r="B21" s="121" t="s">
        <v>90</v>
      </c>
      <c r="C21" s="570">
        <v>1515141724</v>
      </c>
      <c r="D21" s="570">
        <v>250134960</v>
      </c>
      <c r="E21" s="571">
        <v>533595710.68190002</v>
      </c>
      <c r="F21" s="570">
        <v>0</v>
      </c>
      <c r="G21" s="570">
        <v>1141404.6000000001</v>
      </c>
      <c r="H21" s="570">
        <v>12393762.161836078</v>
      </c>
      <c r="I21" s="570">
        <v>1684775.9037462324</v>
      </c>
      <c r="J21" s="571">
        <v>491459029</v>
      </c>
      <c r="K21" s="571">
        <v>60905907</v>
      </c>
      <c r="L21" s="571">
        <v>260236070.8944</v>
      </c>
    </row>
    <row r="22" spans="1:12">
      <c r="A22" s="193">
        <v>12</v>
      </c>
      <c r="B22" s="121" t="s">
        <v>83</v>
      </c>
      <c r="C22" s="570">
        <v>1518638822</v>
      </c>
      <c r="D22" s="570">
        <v>250959634</v>
      </c>
      <c r="E22" s="571">
        <v>538750951.41250002</v>
      </c>
      <c r="F22" s="570">
        <v>0</v>
      </c>
      <c r="G22" s="570">
        <v>1141404.6000000001</v>
      </c>
      <c r="H22" s="570">
        <v>12521319.236469345</v>
      </c>
      <c r="I22" s="570">
        <v>1469864.9881428631</v>
      </c>
      <c r="J22" s="571">
        <v>493099147</v>
      </c>
      <c r="K22" s="571">
        <v>62095625</v>
      </c>
      <c r="L22" s="571">
        <v>262453189.97840002</v>
      </c>
    </row>
    <row r="23" spans="1:12">
      <c r="A23" s="193">
        <v>13</v>
      </c>
      <c r="B23" s="121" t="s">
        <v>207</v>
      </c>
      <c r="C23" s="570">
        <v>1547012084</v>
      </c>
      <c r="D23" s="570">
        <v>254708195</v>
      </c>
      <c r="E23" s="570">
        <v>558388838.89850008</v>
      </c>
      <c r="F23" s="570">
        <v>0</v>
      </c>
      <c r="G23" s="570">
        <v>1141404.6000000001</v>
      </c>
      <c r="H23" s="570">
        <v>12899808.336660299</v>
      </c>
      <c r="I23" s="570">
        <v>1215255.7772010472</v>
      </c>
      <c r="J23" s="571">
        <v>494610735</v>
      </c>
      <c r="K23" s="570">
        <v>63297973</v>
      </c>
      <c r="L23" s="570">
        <v>264599971.65360001</v>
      </c>
    </row>
    <row r="24" spans="1:12" ht="13.5" thickBot="1">
      <c r="A24" s="193">
        <v>14</v>
      </c>
      <c r="B24" s="470" t="s">
        <v>276</v>
      </c>
      <c r="C24" s="478">
        <f t="shared" ref="C24:L24" si="0">SUM(C11:C23)/13</f>
        <v>1492071224.8461537</v>
      </c>
      <c r="D24" s="478">
        <f t="shared" si="0"/>
        <v>245363994.38461539</v>
      </c>
      <c r="E24" s="478">
        <f t="shared" si="0"/>
        <v>534109241.11643821</v>
      </c>
      <c r="F24" s="478">
        <f t="shared" si="0"/>
        <v>0</v>
      </c>
      <c r="G24" s="478">
        <f t="shared" si="0"/>
        <v>1137056.8799999999</v>
      </c>
      <c r="H24" s="478">
        <f t="shared" si="0"/>
        <v>12972612.439988382</v>
      </c>
      <c r="I24" s="478">
        <f t="shared" si="0"/>
        <v>1425117.3191134729</v>
      </c>
      <c r="J24" s="478">
        <f t="shared" si="0"/>
        <v>485852299.15384614</v>
      </c>
      <c r="K24" s="478">
        <f t="shared" si="0"/>
        <v>58619091.230769232</v>
      </c>
      <c r="L24" s="478">
        <f t="shared" si="0"/>
        <v>256725872.64494023</v>
      </c>
    </row>
    <row r="25" spans="1:12" ht="13.5" thickTop="1">
      <c r="A25" s="193"/>
      <c r="B25" s="121"/>
      <c r="C25" s="479"/>
      <c r="D25" s="480"/>
      <c r="E25" s="480"/>
      <c r="F25" s="480"/>
      <c r="G25" s="479"/>
      <c r="H25" s="479"/>
      <c r="I25" s="479"/>
    </row>
    <row r="26" spans="1:12">
      <c r="A26" s="193"/>
      <c r="B26" s="481"/>
      <c r="C26" s="998" t="s">
        <v>224</v>
      </c>
      <c r="D26" s="998"/>
      <c r="E26" s="998"/>
      <c r="F26" s="998"/>
      <c r="G26" s="998"/>
      <c r="H26" s="998"/>
      <c r="I26" s="998"/>
    </row>
    <row r="27" spans="1:12" ht="72" customHeight="1">
      <c r="A27" s="193" t="s">
        <v>208</v>
      </c>
      <c r="B27" s="472" t="s">
        <v>174</v>
      </c>
      <c r="C27" s="1" t="s">
        <v>180</v>
      </c>
      <c r="D27" s="1" t="s">
        <v>181</v>
      </c>
      <c r="E27" s="1" t="s">
        <v>368</v>
      </c>
      <c r="F27" s="1" t="s">
        <v>369</v>
      </c>
      <c r="G27" s="1" t="s">
        <v>370</v>
      </c>
      <c r="H27" s="1" t="s">
        <v>422</v>
      </c>
      <c r="I27" s="1" t="s">
        <v>278</v>
      </c>
      <c r="J27" s="482" t="s">
        <v>686</v>
      </c>
    </row>
    <row r="28" spans="1:12" s="434" customFormat="1">
      <c r="A28" s="193"/>
      <c r="B28" s="472" t="s">
        <v>209</v>
      </c>
      <c r="C28" s="1" t="s">
        <v>210</v>
      </c>
      <c r="D28" s="1" t="s">
        <v>211</v>
      </c>
      <c r="E28" s="1" t="s">
        <v>212</v>
      </c>
      <c r="F28" s="1" t="s">
        <v>214</v>
      </c>
      <c r="G28" s="1" t="s">
        <v>213</v>
      </c>
      <c r="H28" s="1" t="s">
        <v>215</v>
      </c>
      <c r="I28" s="1" t="s">
        <v>216</v>
      </c>
      <c r="J28" s="482" t="s">
        <v>217</v>
      </c>
    </row>
    <row r="29" spans="1:12" s="434" customFormat="1">
      <c r="A29" s="193"/>
      <c r="B29" s="204" t="s">
        <v>423</v>
      </c>
      <c r="C29" s="156">
        <v>28</v>
      </c>
      <c r="D29" s="156">
        <v>29</v>
      </c>
      <c r="E29" s="156">
        <v>22</v>
      </c>
      <c r="F29" s="156">
        <v>23</v>
      </c>
      <c r="G29" s="156">
        <v>24</v>
      </c>
      <c r="H29" s="156">
        <v>25</v>
      </c>
      <c r="I29" s="156">
        <v>26</v>
      </c>
      <c r="J29" s="164" t="s">
        <v>685</v>
      </c>
    </row>
    <row r="30" spans="1:12" s="434" customFormat="1" ht="51" customHeight="1">
      <c r="A30" s="193"/>
      <c r="B30" s="472"/>
      <c r="C30" s="194" t="s">
        <v>366</v>
      </c>
      <c r="D30" s="1" t="s">
        <v>367</v>
      </c>
      <c r="E30" s="963" t="s">
        <v>751</v>
      </c>
      <c r="F30" s="963" t="s">
        <v>752</v>
      </c>
      <c r="G30" s="963" t="s">
        <v>753</v>
      </c>
      <c r="H30" s="963" t="s">
        <v>754</v>
      </c>
      <c r="I30" s="1" t="s">
        <v>875</v>
      </c>
      <c r="J30" s="483" t="s">
        <v>687</v>
      </c>
    </row>
    <row r="31" spans="1:12">
      <c r="A31" s="193">
        <v>15</v>
      </c>
      <c r="B31" s="477" t="s">
        <v>206</v>
      </c>
      <c r="C31" s="570">
        <v>0</v>
      </c>
      <c r="D31" s="570">
        <v>0</v>
      </c>
      <c r="E31" s="535"/>
      <c r="F31" s="535"/>
      <c r="G31" s="535"/>
      <c r="H31" s="535"/>
      <c r="I31" s="570">
        <v>0</v>
      </c>
      <c r="J31" s="570">
        <v>32025609.903738137</v>
      </c>
    </row>
    <row r="32" spans="1:12">
      <c r="A32" s="193">
        <v>16</v>
      </c>
      <c r="B32" s="477" t="s">
        <v>89</v>
      </c>
      <c r="C32" s="570">
        <v>0</v>
      </c>
      <c r="D32" s="570">
        <v>0</v>
      </c>
      <c r="E32" s="535"/>
      <c r="F32" s="535"/>
      <c r="G32" s="535"/>
      <c r="H32" s="535"/>
      <c r="I32" s="570">
        <v>0</v>
      </c>
      <c r="J32" s="570">
        <v>33911148.925864622</v>
      </c>
    </row>
    <row r="33" spans="1:15">
      <c r="A33" s="193">
        <v>17</v>
      </c>
      <c r="B33" s="121" t="s">
        <v>88</v>
      </c>
      <c r="C33" s="570">
        <v>0</v>
      </c>
      <c r="D33" s="570">
        <v>0</v>
      </c>
      <c r="E33" s="535"/>
      <c r="F33" s="535"/>
      <c r="G33" s="535"/>
      <c r="H33" s="535"/>
      <c r="I33" s="570">
        <v>0</v>
      </c>
      <c r="J33" s="570">
        <v>33693341.535384096</v>
      </c>
    </row>
    <row r="34" spans="1:15">
      <c r="A34" s="193">
        <v>18</v>
      </c>
      <c r="B34" s="121" t="s">
        <v>178</v>
      </c>
      <c r="C34" s="570">
        <v>0</v>
      </c>
      <c r="D34" s="570">
        <v>0</v>
      </c>
      <c r="E34" s="535"/>
      <c r="F34" s="535"/>
      <c r="G34" s="535"/>
      <c r="H34" s="535"/>
      <c r="I34" s="570">
        <v>0</v>
      </c>
      <c r="J34" s="570">
        <v>33482044.271761764</v>
      </c>
    </row>
    <row r="35" spans="1:15">
      <c r="A35" s="193">
        <v>19</v>
      </c>
      <c r="B35" s="121" t="s">
        <v>79</v>
      </c>
      <c r="C35" s="570">
        <v>0</v>
      </c>
      <c r="D35" s="570">
        <v>0</v>
      </c>
      <c r="E35" s="535"/>
      <c r="F35" s="535"/>
      <c r="G35" s="535"/>
      <c r="H35" s="535"/>
      <c r="I35" s="570">
        <v>0</v>
      </c>
      <c r="J35" s="570">
        <v>33261439.559559871</v>
      </c>
    </row>
    <row r="36" spans="1:15">
      <c r="A36" s="193">
        <v>20</v>
      </c>
      <c r="B36" s="121" t="s">
        <v>78</v>
      </c>
      <c r="C36" s="570">
        <v>0</v>
      </c>
      <c r="D36" s="570">
        <v>0</v>
      </c>
      <c r="E36" s="535"/>
      <c r="F36" s="535"/>
      <c r="G36" s="535"/>
      <c r="H36" s="535"/>
      <c r="I36" s="570">
        <v>0</v>
      </c>
      <c r="J36" s="570">
        <v>33059650.042370465</v>
      </c>
    </row>
    <row r="37" spans="1:15">
      <c r="A37" s="193">
        <v>21</v>
      </c>
      <c r="B37" s="121" t="s">
        <v>98</v>
      </c>
      <c r="C37" s="570">
        <v>0</v>
      </c>
      <c r="D37" s="570">
        <v>0</v>
      </c>
      <c r="E37" s="535"/>
      <c r="F37" s="535"/>
      <c r="G37" s="535"/>
      <c r="H37" s="535"/>
      <c r="I37" s="570">
        <v>0</v>
      </c>
      <c r="J37" s="570">
        <v>32843995.290548794</v>
      </c>
    </row>
    <row r="38" spans="1:15">
      <c r="A38" s="193">
        <v>22</v>
      </c>
      <c r="B38" s="121" t="s">
        <v>86</v>
      </c>
      <c r="C38" s="570">
        <v>0</v>
      </c>
      <c r="D38" s="570">
        <v>0</v>
      </c>
      <c r="E38" s="535"/>
      <c r="F38" s="535"/>
      <c r="G38" s="535"/>
      <c r="H38" s="535"/>
      <c r="I38" s="570">
        <v>0</v>
      </c>
      <c r="J38" s="570">
        <v>32628340.538727127</v>
      </c>
    </row>
    <row r="39" spans="1:15">
      <c r="A39" s="193">
        <v>23</v>
      </c>
      <c r="B39" s="121" t="s">
        <v>179</v>
      </c>
      <c r="C39" s="570">
        <v>0</v>
      </c>
      <c r="D39" s="570">
        <v>0</v>
      </c>
      <c r="E39" s="535"/>
      <c r="F39" s="535"/>
      <c r="G39" s="535"/>
      <c r="H39" s="535"/>
      <c r="I39" s="570">
        <v>0</v>
      </c>
      <c r="J39" s="570">
        <v>32412685.786905456</v>
      </c>
    </row>
    <row r="40" spans="1:15">
      <c r="A40" s="193">
        <v>24</v>
      </c>
      <c r="B40" s="121" t="s">
        <v>84</v>
      </c>
      <c r="C40" s="570">
        <v>0</v>
      </c>
      <c r="D40" s="570">
        <v>0</v>
      </c>
      <c r="E40" s="535"/>
      <c r="F40" s="535"/>
      <c r="G40" s="535"/>
      <c r="H40" s="535"/>
      <c r="I40" s="570">
        <v>0</v>
      </c>
      <c r="J40" s="570">
        <v>32197031.035083786</v>
      </c>
    </row>
    <row r="41" spans="1:15">
      <c r="A41" s="193">
        <v>25</v>
      </c>
      <c r="B41" s="121" t="s">
        <v>90</v>
      </c>
      <c r="C41" s="570">
        <v>0</v>
      </c>
      <c r="D41" s="570">
        <v>0</v>
      </c>
      <c r="E41" s="535"/>
      <c r="F41" s="535"/>
      <c r="G41" s="535"/>
      <c r="H41" s="535"/>
      <c r="I41" s="570">
        <v>0</v>
      </c>
      <c r="J41" s="570">
        <v>31985803.509645883</v>
      </c>
    </row>
    <row r="42" spans="1:15">
      <c r="A42" s="193">
        <v>26</v>
      </c>
      <c r="B42" s="121" t="s">
        <v>83</v>
      </c>
      <c r="C42" s="570">
        <v>0</v>
      </c>
      <c r="D42" s="570">
        <v>0</v>
      </c>
      <c r="E42" s="535"/>
      <c r="F42" s="535"/>
      <c r="G42" s="535"/>
      <c r="H42" s="535"/>
      <c r="I42" s="570">
        <v>0</v>
      </c>
      <c r="J42" s="570">
        <v>31769907.313106328</v>
      </c>
    </row>
    <row r="43" spans="1:15">
      <c r="A43" s="193">
        <v>27</v>
      </c>
      <c r="B43" s="121" t="s">
        <v>207</v>
      </c>
      <c r="C43" s="570">
        <v>0</v>
      </c>
      <c r="D43" s="570">
        <v>0</v>
      </c>
      <c r="E43" s="535"/>
      <c r="F43" s="535"/>
      <c r="G43" s="535"/>
      <c r="H43" s="535"/>
      <c r="I43" s="570">
        <v>0</v>
      </c>
      <c r="J43" s="570">
        <v>31562100.382354811</v>
      </c>
    </row>
    <row r="44" spans="1:15" ht="13.5" thickBot="1">
      <c r="A44" s="193">
        <v>28</v>
      </c>
      <c r="B44" s="536" t="s">
        <v>277</v>
      </c>
      <c r="C44" s="478">
        <f t="shared" ref="C44:I44" si="1">SUM(C31:C43)/13</f>
        <v>0</v>
      </c>
      <c r="D44" s="484">
        <f t="shared" si="1"/>
        <v>0</v>
      </c>
      <c r="E44" s="815" t="str">
        <f>+'4A - ADIT Summary'!M90</f>
        <v>Zero</v>
      </c>
      <c r="F44" s="814">
        <f>'4A - ADIT Summary'!M78</f>
        <v>-260301938.49132666</v>
      </c>
      <c r="G44" s="478">
        <f>'4A - ADIT Summary'!M84</f>
        <v>-7987142.5179059319</v>
      </c>
      <c r="H44" s="814">
        <f>'4A - ADIT Summary'!M96</f>
        <v>12181867.363936294</v>
      </c>
      <c r="I44" s="478">
        <f t="shared" si="1"/>
        <v>0</v>
      </c>
      <c r="J44" s="478">
        <f>SUM(J31:J43)/13</f>
        <v>32679469.0842347</v>
      </c>
    </row>
    <row r="45" spans="1:15" ht="13.5" thickTop="1">
      <c r="A45" s="193"/>
      <c r="B45" s="121" t="s">
        <v>750</v>
      </c>
      <c r="E45" s="999"/>
      <c r="F45" s="999"/>
      <c r="G45" s="999"/>
      <c r="H45" s="999"/>
      <c r="I45" s="480"/>
      <c r="J45" s="366"/>
    </row>
    <row r="46" spans="1:15">
      <c r="A46" s="193"/>
      <c r="J46" s="164"/>
    </row>
    <row r="47" spans="1:15">
      <c r="F47" s="668" t="s">
        <v>201</v>
      </c>
    </row>
    <row r="48" spans="1:15">
      <c r="A48" s="193"/>
      <c r="C48" s="186"/>
      <c r="D48" s="186"/>
      <c r="E48" s="186"/>
      <c r="F48" s="369" t="s">
        <v>275</v>
      </c>
      <c r="G48" s="186"/>
      <c r="L48" s="434"/>
      <c r="M48" s="434"/>
      <c r="N48" s="434"/>
      <c r="O48" s="434"/>
    </row>
    <row r="49" spans="1:16">
      <c r="A49" s="193"/>
      <c r="C49" s="186"/>
      <c r="D49" s="186"/>
      <c r="E49" s="186"/>
      <c r="F49" s="225" t="str">
        <f>'Attachment H-7'!$D$5</f>
        <v>PECO Energy Company</v>
      </c>
      <c r="G49" s="186"/>
      <c r="K49" s="434"/>
      <c r="L49" s="434"/>
      <c r="M49" s="434"/>
      <c r="N49" s="434"/>
      <c r="O49" s="434"/>
    </row>
    <row r="50" spans="1:16">
      <c r="A50" s="193"/>
      <c r="B50" s="164" t="s">
        <v>424</v>
      </c>
      <c r="C50" s="186"/>
      <c r="D50" s="186"/>
      <c r="E50" s="186"/>
      <c r="F50" s="225"/>
      <c r="G50" s="186"/>
      <c r="K50" s="434"/>
      <c r="L50" s="434"/>
      <c r="M50" s="434"/>
      <c r="N50" s="434"/>
      <c r="O50" s="434"/>
    </row>
    <row r="51" spans="1:16">
      <c r="A51" s="193"/>
      <c r="B51" s="164" t="s">
        <v>209</v>
      </c>
      <c r="C51" s="164" t="s">
        <v>210</v>
      </c>
      <c r="D51" s="164" t="s">
        <v>211</v>
      </c>
      <c r="E51" s="164" t="s">
        <v>212</v>
      </c>
      <c r="F51" s="164" t="s">
        <v>214</v>
      </c>
      <c r="G51" s="164" t="s">
        <v>213</v>
      </c>
      <c r="H51" s="164" t="s">
        <v>215</v>
      </c>
      <c r="I51" s="164" t="s">
        <v>216</v>
      </c>
      <c r="J51" s="366" t="s">
        <v>161</v>
      </c>
      <c r="L51" s="434"/>
      <c r="M51" s="434"/>
      <c r="N51" s="434"/>
      <c r="O51" s="434"/>
      <c r="P51" s="434"/>
    </row>
    <row r="52" spans="1:16" ht="76.5">
      <c r="A52" s="193">
        <v>29</v>
      </c>
      <c r="B52" s="187" t="s">
        <v>353</v>
      </c>
      <c r="C52" s="115"/>
      <c r="D52" s="188" t="s">
        <v>11</v>
      </c>
      <c r="E52" s="188" t="s">
        <v>354</v>
      </c>
      <c r="F52" s="188" t="s">
        <v>355</v>
      </c>
      <c r="G52" s="188" t="s">
        <v>467</v>
      </c>
      <c r="H52" s="189" t="s">
        <v>356</v>
      </c>
      <c r="I52" s="189" t="s">
        <v>357</v>
      </c>
      <c r="J52" s="187"/>
      <c r="K52" s="187"/>
      <c r="L52" s="187"/>
      <c r="M52" s="485"/>
      <c r="N52" s="434"/>
      <c r="O52" s="434"/>
      <c r="P52" s="434"/>
    </row>
    <row r="53" spans="1:16">
      <c r="A53" s="193" t="s">
        <v>358</v>
      </c>
      <c r="B53" s="181"/>
      <c r="C53" s="753" t="s">
        <v>1203</v>
      </c>
      <c r="D53" s="754">
        <v>-1421870.0491769996</v>
      </c>
      <c r="E53" s="755">
        <v>1</v>
      </c>
      <c r="F53" s="756">
        <v>1</v>
      </c>
      <c r="G53" s="757">
        <v>1</v>
      </c>
      <c r="H53" s="669">
        <f>'Attachment H-7'!I191</f>
        <v>0.1176002587197187</v>
      </c>
      <c r="I53" s="190">
        <f t="shared" ref="I53:I59" si="2">+H53*E53*F53*G53*D53</f>
        <v>-167212.28564903431</v>
      </c>
      <c r="J53" s="187"/>
      <c r="K53" s="181"/>
      <c r="L53" s="181"/>
      <c r="M53" s="485"/>
      <c r="N53" s="434"/>
      <c r="O53" s="434"/>
      <c r="P53" s="434"/>
    </row>
    <row r="54" spans="1:16">
      <c r="A54" s="193" t="s">
        <v>359</v>
      </c>
      <c r="B54" s="181"/>
      <c r="C54" s="753" t="s">
        <v>1204</v>
      </c>
      <c r="D54" s="758">
        <v>-171563.18525387629</v>
      </c>
      <c r="E54" s="755">
        <v>1</v>
      </c>
      <c r="F54" s="756">
        <v>1</v>
      </c>
      <c r="G54" s="757">
        <v>1</v>
      </c>
      <c r="H54" s="669">
        <f>H53</f>
        <v>0.1176002587197187</v>
      </c>
      <c r="I54" s="190">
        <f t="shared" si="2"/>
        <v>-20175.87497263488</v>
      </c>
      <c r="J54" s="187"/>
      <c r="K54" s="181"/>
      <c r="L54" s="181"/>
      <c r="M54" s="485"/>
      <c r="N54" s="434"/>
      <c r="O54" s="434"/>
      <c r="P54" s="434"/>
    </row>
    <row r="55" spans="1:16">
      <c r="A55" s="193" t="s">
        <v>360</v>
      </c>
      <c r="B55" s="181"/>
      <c r="C55" s="753" t="s">
        <v>1205</v>
      </c>
      <c r="D55" s="758">
        <v>-1060591.6714881554</v>
      </c>
      <c r="E55" s="755">
        <v>1</v>
      </c>
      <c r="F55" s="756">
        <v>1</v>
      </c>
      <c r="G55" s="757">
        <v>1</v>
      </c>
      <c r="H55" s="669">
        <f>H54</f>
        <v>0.1176002587197187</v>
      </c>
      <c r="I55" s="190">
        <f t="shared" si="2"/>
        <v>-124725.85496298598</v>
      </c>
      <c r="J55" s="187"/>
      <c r="K55" s="181"/>
      <c r="L55" s="181"/>
      <c r="M55" s="485"/>
      <c r="N55" s="434"/>
      <c r="O55" s="434"/>
      <c r="P55" s="434"/>
    </row>
    <row r="56" spans="1:16">
      <c r="A56" s="193" t="s">
        <v>361</v>
      </c>
      <c r="B56" s="181"/>
      <c r="C56" s="753" t="s">
        <v>1206</v>
      </c>
      <c r="D56" s="758">
        <v>-10007486.233295335</v>
      </c>
      <c r="E56" s="755">
        <v>1</v>
      </c>
      <c r="F56" s="756">
        <v>1</v>
      </c>
      <c r="G56" s="757">
        <v>1</v>
      </c>
      <c r="H56" s="669">
        <f>H55</f>
        <v>0.1176002587197187</v>
      </c>
      <c r="I56" s="190">
        <f t="shared" si="2"/>
        <v>-1176882.9701695545</v>
      </c>
      <c r="J56" s="187"/>
      <c r="K56" s="181"/>
      <c r="L56" s="181"/>
      <c r="M56" s="485"/>
      <c r="N56" s="434"/>
      <c r="O56" s="434"/>
      <c r="P56" s="434"/>
    </row>
    <row r="57" spans="1:16">
      <c r="A57" s="193" t="s">
        <v>362</v>
      </c>
      <c r="B57" s="181"/>
      <c r="C57" s="753" t="s">
        <v>1207</v>
      </c>
      <c r="D57" s="758">
        <v>-487970.61156361492</v>
      </c>
      <c r="E57" s="755">
        <v>1</v>
      </c>
      <c r="F57" s="756">
        <v>1</v>
      </c>
      <c r="G57" s="757">
        <v>1</v>
      </c>
      <c r="H57" s="669">
        <f>H56</f>
        <v>0.1176002587197187</v>
      </c>
      <c r="I57" s="190">
        <f t="shared" si="2"/>
        <v>-57385.470167500469</v>
      </c>
      <c r="J57" s="187"/>
      <c r="K57" s="181"/>
      <c r="L57" s="181"/>
      <c r="M57" s="485"/>
      <c r="N57" s="434"/>
      <c r="O57" s="434"/>
      <c r="P57" s="434"/>
    </row>
    <row r="58" spans="1:16">
      <c r="A58" s="193" t="s">
        <v>363</v>
      </c>
      <c r="B58" s="181"/>
      <c r="C58" s="753" t="s">
        <v>1208</v>
      </c>
      <c r="D58" s="758">
        <v>-23255261.989538204</v>
      </c>
      <c r="E58" s="755">
        <v>1</v>
      </c>
      <c r="F58" s="756">
        <v>1</v>
      </c>
      <c r="G58" s="757">
        <v>1</v>
      </c>
      <c r="H58" s="669">
        <f>H57</f>
        <v>0.1176002587197187</v>
      </c>
      <c r="I58" s="190">
        <f t="shared" si="2"/>
        <v>-2734824.8265645332</v>
      </c>
      <c r="J58" s="187"/>
      <c r="K58" s="181"/>
      <c r="L58" s="181"/>
      <c r="M58" s="485"/>
      <c r="N58" s="434"/>
      <c r="O58" s="434"/>
      <c r="P58" s="434"/>
    </row>
    <row r="59" spans="1:16">
      <c r="A59" s="193" t="s">
        <v>1157</v>
      </c>
      <c r="B59" s="181"/>
      <c r="C59" s="753" t="s">
        <v>1209</v>
      </c>
      <c r="D59" s="758">
        <v>-2212697.4063461535</v>
      </c>
      <c r="E59" s="755">
        <v>1</v>
      </c>
      <c r="F59" s="756">
        <v>1</v>
      </c>
      <c r="G59" s="757">
        <v>1</v>
      </c>
      <c r="H59" s="669">
        <v>1</v>
      </c>
      <c r="I59" s="190">
        <f t="shared" si="2"/>
        <v>-2212697.4063461535</v>
      </c>
      <c r="J59" s="187"/>
      <c r="K59" s="181"/>
      <c r="L59" s="181"/>
      <c r="M59" s="485"/>
      <c r="N59" s="434"/>
      <c r="O59" s="434"/>
      <c r="P59" s="434"/>
    </row>
    <row r="60" spans="1:16">
      <c r="A60" s="193" t="s">
        <v>1158</v>
      </c>
      <c r="B60" s="181"/>
      <c r="C60" s="753"/>
      <c r="D60" s="758"/>
      <c r="E60" s="755"/>
      <c r="F60" s="756"/>
      <c r="G60" s="757"/>
      <c r="H60" s="669"/>
      <c r="I60" s="954"/>
      <c r="J60" s="187"/>
      <c r="K60" s="181"/>
      <c r="L60" s="181"/>
      <c r="M60" s="485"/>
      <c r="N60" s="434"/>
      <c r="O60" s="434"/>
      <c r="P60" s="434"/>
    </row>
    <row r="61" spans="1:16">
      <c r="A61" s="193" t="s">
        <v>1159</v>
      </c>
      <c r="B61" s="181"/>
      <c r="C61" s="753"/>
      <c r="D61" s="758"/>
      <c r="E61" s="755"/>
      <c r="F61" s="756"/>
      <c r="G61" s="757"/>
      <c r="H61" s="669"/>
      <c r="I61" s="954"/>
      <c r="J61" s="187"/>
      <c r="K61" s="181"/>
      <c r="L61" s="181"/>
      <c r="M61" s="485"/>
      <c r="N61" s="434"/>
      <c r="O61" s="434"/>
      <c r="P61" s="434"/>
    </row>
    <row r="62" spans="1:16">
      <c r="A62" s="193"/>
      <c r="B62" s="181"/>
      <c r="C62" s="753"/>
      <c r="D62" s="758"/>
      <c r="E62" s="754"/>
      <c r="F62" s="759"/>
      <c r="G62" s="759"/>
      <c r="H62" s="40"/>
      <c r="I62" s="190"/>
      <c r="J62" s="187"/>
      <c r="K62" s="181"/>
      <c r="L62" s="181"/>
      <c r="M62" s="485"/>
      <c r="N62" s="434"/>
      <c r="O62" s="434"/>
      <c r="P62" s="434"/>
    </row>
    <row r="63" spans="1:16">
      <c r="A63" s="193"/>
      <c r="B63" s="181"/>
      <c r="C63" s="753"/>
      <c r="D63" s="758"/>
      <c r="E63" s="754"/>
      <c r="F63" s="759"/>
      <c r="G63" s="759"/>
      <c r="H63" s="40"/>
      <c r="I63" s="190"/>
      <c r="J63" s="187"/>
      <c r="K63" s="181"/>
      <c r="L63" s="181"/>
      <c r="M63" s="485"/>
      <c r="N63" s="434"/>
      <c r="O63" s="434"/>
      <c r="P63" s="434"/>
    </row>
    <row r="64" spans="1:16">
      <c r="A64" s="193" t="s">
        <v>1154</v>
      </c>
      <c r="B64" s="181"/>
      <c r="C64" s="760" t="s">
        <v>316</v>
      </c>
      <c r="D64" s="761">
        <v>0</v>
      </c>
      <c r="E64" s="762">
        <v>0</v>
      </c>
      <c r="F64" s="763"/>
      <c r="G64" s="763"/>
      <c r="H64" s="486"/>
      <c r="I64" s="191">
        <f>+H64*E64*D64</f>
        <v>0</v>
      </c>
      <c r="J64" s="187"/>
      <c r="K64" s="181"/>
      <c r="L64" s="181"/>
      <c r="M64" s="485"/>
      <c r="N64" s="434"/>
      <c r="O64" s="434"/>
      <c r="P64" s="434"/>
    </row>
    <row r="65" spans="1:16">
      <c r="A65" s="193">
        <v>31</v>
      </c>
      <c r="B65" s="181"/>
      <c r="C65" s="187" t="s">
        <v>13</v>
      </c>
      <c r="D65" s="192">
        <f>SUM(D53:D64)</f>
        <v>-38617441.14666234</v>
      </c>
      <c r="E65" s="75"/>
      <c r="F65" s="434"/>
      <c r="G65" s="434"/>
      <c r="H65" s="75"/>
      <c r="I65" s="190">
        <f>SUM(I53:I64)</f>
        <v>-6493904.6888323966</v>
      </c>
      <c r="J65" s="187"/>
      <c r="K65" s="181"/>
      <c r="L65" s="181"/>
      <c r="M65" s="485"/>
      <c r="N65" s="434"/>
      <c r="O65" s="434"/>
      <c r="P65" s="434"/>
    </row>
    <row r="66" spans="1:16">
      <c r="A66" s="487"/>
      <c r="B66" s="488"/>
      <c r="C66" s="489"/>
      <c r="D66" s="489"/>
      <c r="E66" s="489"/>
      <c r="F66" s="489"/>
      <c r="G66" s="489"/>
      <c r="I66" s="181"/>
      <c r="J66" s="181"/>
      <c r="K66" s="181"/>
    </row>
    <row r="67" spans="1:16">
      <c r="A67" s="487"/>
      <c r="B67" s="488"/>
      <c r="C67" s="489"/>
      <c r="D67" s="489"/>
      <c r="E67" s="489"/>
      <c r="F67" s="489"/>
      <c r="G67" s="489"/>
      <c r="L67" s="434"/>
      <c r="M67" s="434"/>
      <c r="N67" s="434"/>
      <c r="O67" s="434"/>
      <c r="P67" s="434"/>
    </row>
    <row r="68" spans="1:16">
      <c r="A68" s="487"/>
      <c r="B68" s="488"/>
      <c r="C68" s="489"/>
      <c r="D68" s="489"/>
      <c r="E68" s="489"/>
      <c r="F68" s="489"/>
      <c r="G68" s="489"/>
      <c r="L68" s="434"/>
      <c r="M68" s="434"/>
      <c r="N68" s="434"/>
      <c r="O68" s="434"/>
      <c r="P68" s="434"/>
    </row>
    <row r="69" spans="1:16">
      <c r="A69" s="193" t="s">
        <v>192</v>
      </c>
    </row>
    <row r="70" spans="1:16" ht="12.75" customHeight="1">
      <c r="A70" s="193" t="s">
        <v>63</v>
      </c>
      <c r="B70" s="976" t="s">
        <v>364</v>
      </c>
      <c r="C70" s="976"/>
      <c r="D70" s="976"/>
      <c r="E70" s="976"/>
      <c r="F70" s="976"/>
      <c r="G70" s="976"/>
      <c r="H70" s="976"/>
      <c r="I70" s="976"/>
      <c r="J70" s="976"/>
      <c r="K70" s="976"/>
    </row>
    <row r="71" spans="1:16" ht="12.75" customHeight="1">
      <c r="A71" s="193" t="s">
        <v>64</v>
      </c>
      <c r="B71" s="976" t="s">
        <v>425</v>
      </c>
      <c r="C71" s="976"/>
      <c r="D71" s="976"/>
      <c r="E71" s="976"/>
      <c r="F71" s="976"/>
      <c r="G71" s="976"/>
      <c r="H71" s="976"/>
      <c r="I71" s="976"/>
      <c r="J71" s="976"/>
      <c r="K71" s="976"/>
      <c r="L71" s="366"/>
    </row>
    <row r="72" spans="1:16" ht="12.75" customHeight="1">
      <c r="A72" s="193" t="s">
        <v>65</v>
      </c>
      <c r="B72" s="116" t="s">
        <v>426</v>
      </c>
      <c r="C72" s="213"/>
      <c r="D72" s="213"/>
      <c r="E72" s="213"/>
      <c r="F72" s="213"/>
      <c r="G72" s="213"/>
      <c r="H72" s="213"/>
      <c r="I72" s="213"/>
      <c r="J72" s="213"/>
      <c r="K72" s="213"/>
    </row>
    <row r="73" spans="1:16">
      <c r="A73" s="193"/>
      <c r="B73" s="214" t="s">
        <v>699</v>
      </c>
      <c r="C73" s="667"/>
      <c r="D73" s="667"/>
      <c r="E73" s="667"/>
      <c r="F73" s="667"/>
      <c r="G73" s="667"/>
      <c r="H73" s="667"/>
      <c r="I73" s="667"/>
      <c r="J73" s="667"/>
      <c r="K73" s="667"/>
    </row>
    <row r="74" spans="1:16">
      <c r="A74" s="193"/>
      <c r="B74" s="214" t="s">
        <v>700</v>
      </c>
      <c r="C74" s="667"/>
      <c r="D74" s="667"/>
      <c r="E74" s="667"/>
      <c r="F74" s="667"/>
      <c r="G74" s="667"/>
      <c r="H74" s="667"/>
      <c r="I74" s="667"/>
      <c r="J74" s="667"/>
      <c r="K74" s="667"/>
    </row>
    <row r="75" spans="1:16" ht="12.75" customHeight="1">
      <c r="A75" s="193" t="s">
        <v>66</v>
      </c>
      <c r="B75" s="116" t="s">
        <v>475</v>
      </c>
    </row>
    <row r="76" spans="1:16" ht="24" customHeight="1">
      <c r="A76" s="202" t="s">
        <v>67</v>
      </c>
      <c r="B76" s="990" t="s">
        <v>484</v>
      </c>
      <c r="C76" s="990"/>
      <c r="D76" s="990"/>
      <c r="E76" s="990"/>
      <c r="F76" s="990"/>
      <c r="G76" s="990"/>
      <c r="H76" s="990"/>
      <c r="I76" s="990"/>
      <c r="J76" s="990"/>
      <c r="K76" s="666"/>
    </row>
    <row r="77" spans="1:16" ht="12.75" customHeight="1">
      <c r="A77" s="193" t="s">
        <v>68</v>
      </c>
      <c r="B77" s="991" t="s">
        <v>365</v>
      </c>
      <c r="C77" s="991"/>
      <c r="D77" s="991"/>
      <c r="E77" s="991"/>
      <c r="F77" s="991"/>
      <c r="G77" s="991"/>
      <c r="H77" s="991"/>
      <c r="I77" s="991"/>
      <c r="J77" s="991"/>
      <c r="K77" s="991"/>
    </row>
    <row r="78" spans="1:16" ht="43.5" customHeight="1">
      <c r="A78" s="202" t="s">
        <v>69</v>
      </c>
      <c r="B78" s="990" t="s">
        <v>427</v>
      </c>
      <c r="C78" s="990"/>
      <c r="D78" s="990"/>
      <c r="E78" s="990"/>
      <c r="F78" s="990"/>
      <c r="G78" s="990"/>
      <c r="H78" s="990"/>
      <c r="I78" s="990"/>
      <c r="J78" s="990"/>
      <c r="K78" s="666"/>
    </row>
    <row r="79" spans="1:16">
      <c r="A79" s="193" t="s">
        <v>70</v>
      </c>
      <c r="B79" s="215" t="s">
        <v>466</v>
      </c>
    </row>
    <row r="80" spans="1:16">
      <c r="A80" s="193" t="s">
        <v>71</v>
      </c>
      <c r="B80" s="116" t="s">
        <v>497</v>
      </c>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s>
  <mergeCells count="9">
    <mergeCell ref="B71:K71"/>
    <mergeCell ref="B76:J76"/>
    <mergeCell ref="B77:K77"/>
    <mergeCell ref="B78:J78"/>
    <mergeCell ref="J6:L6"/>
    <mergeCell ref="C6:E6"/>
    <mergeCell ref="C26:I26"/>
    <mergeCell ref="E45:H45"/>
    <mergeCell ref="B70:K70"/>
  </mergeCells>
  <phoneticPr fontId="0" type="noConversion"/>
  <pageMargins left="0.25" right="0.25" top="0.75" bottom="0.75" header="0.3" footer="0.3"/>
  <pageSetup scale="51" fitToHeight="0" orientation="landscape" r:id="rId2"/>
  <rowBreaks count="1" manualBreakCount="1">
    <brk id="45"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topLeftCell="C76" zoomScale="70" zoomScaleNormal="70" zoomScaleSheetLayoutView="70" workbookViewId="0">
      <selection activeCell="M96" sqref="M96"/>
    </sheetView>
  </sheetViews>
  <sheetFormatPr defaultColWidth="8.88671875" defaultRowHeight="16.5"/>
  <cols>
    <col min="1" max="1" width="8.88671875" style="493"/>
    <col min="2" max="2" width="9.88671875" style="259" customWidth="1"/>
    <col min="3" max="3" width="19" style="259" customWidth="1"/>
    <col min="4" max="4" width="8.88671875" style="795"/>
    <col min="5" max="5" width="13.88671875" style="259" customWidth="1"/>
    <col min="6" max="6" width="16.44140625" style="259" customWidth="1"/>
    <col min="7" max="7" width="12.5546875" style="259" customWidth="1"/>
    <col min="8" max="8" width="12.6640625" style="259" customWidth="1"/>
    <col min="9" max="9" width="11.77734375" style="259" customWidth="1"/>
    <col min="10" max="10" width="13.21875" style="259" customWidth="1"/>
    <col min="11" max="11" width="11" style="259" customWidth="1"/>
    <col min="12" max="12" width="17.33203125" style="259" customWidth="1"/>
    <col min="13" max="13" width="13.109375" style="259" customWidth="1"/>
    <col min="14" max="14" width="11.88671875" style="259" bestFit="1" customWidth="1"/>
    <col min="15" max="15" width="19.6640625" style="243" customWidth="1"/>
    <col min="16" max="18" width="8.88671875" style="243"/>
    <col min="19" max="19" width="11" style="243" customWidth="1"/>
    <col min="20" max="29" width="8.88671875" style="243"/>
    <col min="30" max="16384" width="8.88671875" style="490"/>
  </cols>
  <sheetData>
    <row r="1" spans="1:19">
      <c r="M1" s="242"/>
    </row>
    <row r="2" spans="1:19">
      <c r="G2" s="29" t="s">
        <v>1063</v>
      </c>
      <c r="M2" s="242" t="s">
        <v>499</v>
      </c>
    </row>
    <row r="3" spans="1:19">
      <c r="G3" s="329" t="str">
        <f>'Attachment H-7'!$D$5</f>
        <v>PECO Energy Company</v>
      </c>
      <c r="M3" s="242" t="s">
        <v>460</v>
      </c>
    </row>
    <row r="4" spans="1:19">
      <c r="B4" s="491"/>
      <c r="C4" s="491"/>
      <c r="D4" s="796"/>
      <c r="E4" s="491"/>
      <c r="F4" s="491"/>
      <c r="G4" s="492" t="s">
        <v>500</v>
      </c>
      <c r="H4" s="491"/>
      <c r="I4" s="491"/>
      <c r="J4" s="491"/>
      <c r="K4" s="491"/>
      <c r="L4" s="491"/>
      <c r="M4" s="491"/>
    </row>
    <row r="5" spans="1:19">
      <c r="E5" s="493"/>
      <c r="F5" s="493"/>
      <c r="G5" s="493"/>
      <c r="H5" s="493"/>
      <c r="I5" s="493"/>
      <c r="J5" s="493"/>
      <c r="K5" s="493"/>
      <c r="L5" s="493"/>
      <c r="M5" s="242" t="s">
        <v>1149</v>
      </c>
    </row>
    <row r="6" spans="1:19">
      <c r="E6" s="493"/>
      <c r="F6" s="493"/>
      <c r="G6" s="493"/>
      <c r="H6" s="493"/>
      <c r="I6" s="493"/>
      <c r="J6" s="493"/>
      <c r="K6" s="493"/>
      <c r="L6" s="493"/>
    </row>
    <row r="7" spans="1:19">
      <c r="A7" s="847" t="s">
        <v>501</v>
      </c>
      <c r="E7" s="493"/>
      <c r="F7" s="493"/>
      <c r="G7" s="493"/>
      <c r="H7" s="493"/>
      <c r="I7" s="493"/>
      <c r="J7" s="493"/>
      <c r="K7" s="493"/>
      <c r="L7" s="493"/>
    </row>
    <row r="8" spans="1:19">
      <c r="E8" s="493"/>
      <c r="F8" s="493"/>
      <c r="G8" s="493"/>
      <c r="H8" s="493"/>
      <c r="I8" s="493"/>
      <c r="J8" s="493"/>
      <c r="K8" s="493"/>
      <c r="L8" s="493"/>
    </row>
    <row r="9" spans="1:19">
      <c r="B9" s="259" t="s">
        <v>209</v>
      </c>
      <c r="C9" s="259" t="s">
        <v>210</v>
      </c>
      <c r="D9" s="795" t="s">
        <v>211</v>
      </c>
      <c r="E9" s="493" t="s">
        <v>212</v>
      </c>
      <c r="F9" s="493" t="s">
        <v>214</v>
      </c>
      <c r="G9" s="493" t="s">
        <v>213</v>
      </c>
      <c r="H9" s="493" t="s">
        <v>215</v>
      </c>
      <c r="I9" s="493" t="s">
        <v>216</v>
      </c>
      <c r="J9" s="493" t="s">
        <v>217</v>
      </c>
      <c r="K9" s="493" t="s">
        <v>259</v>
      </c>
      <c r="L9" s="493" t="s">
        <v>263</v>
      </c>
      <c r="M9" s="493" t="s">
        <v>502</v>
      </c>
    </row>
    <row r="10" spans="1:19">
      <c r="B10" s="493" t="s">
        <v>503</v>
      </c>
      <c r="C10" s="259" t="s">
        <v>174</v>
      </c>
      <c r="D10" s="795" t="s">
        <v>80</v>
      </c>
      <c r="E10" s="493" t="s">
        <v>504</v>
      </c>
      <c r="F10" s="493" t="s">
        <v>505</v>
      </c>
      <c r="G10" s="495">
        <v>1</v>
      </c>
      <c r="H10" s="493" t="s">
        <v>506</v>
      </c>
      <c r="I10" s="493" t="s">
        <v>507</v>
      </c>
      <c r="J10" s="493" t="s">
        <v>508</v>
      </c>
      <c r="K10" s="493" t="s">
        <v>509</v>
      </c>
      <c r="L10" s="493" t="s">
        <v>510</v>
      </c>
      <c r="M10" s="493" t="s">
        <v>238</v>
      </c>
    </row>
    <row r="11" spans="1:19">
      <c r="B11" s="493" t="s">
        <v>511</v>
      </c>
      <c r="E11" s="493" t="s">
        <v>512</v>
      </c>
      <c r="F11" s="493" t="s">
        <v>513</v>
      </c>
      <c r="G11" s="493" t="s">
        <v>17</v>
      </c>
      <c r="H11" s="495" t="s">
        <v>514</v>
      </c>
      <c r="I11" s="493" t="s">
        <v>515</v>
      </c>
      <c r="J11" s="495" t="s">
        <v>516</v>
      </c>
      <c r="K11" s="493" t="s">
        <v>517</v>
      </c>
      <c r="L11" s="495" t="s">
        <v>518</v>
      </c>
      <c r="M11" s="493" t="s">
        <v>519</v>
      </c>
    </row>
    <row r="12" spans="1:19">
      <c r="B12" s="493" t="s">
        <v>520</v>
      </c>
      <c r="E12" s="493"/>
      <c r="F12" s="493"/>
      <c r="G12" s="493"/>
      <c r="H12" s="244">
        <v>1</v>
      </c>
      <c r="I12" s="493"/>
      <c r="J12" s="359">
        <f>+'Attachment H-7'!G73</f>
        <v>0.18557571917772073</v>
      </c>
      <c r="K12" s="496"/>
      <c r="L12" s="359">
        <f>+'Attachment H-7'!I191</f>
        <v>0.1176002587197187</v>
      </c>
      <c r="M12" s="493" t="s">
        <v>521</v>
      </c>
    </row>
    <row r="13" spans="1:19">
      <c r="B13" s="493" t="s">
        <v>522</v>
      </c>
      <c r="E13" s="493"/>
      <c r="F13" s="493"/>
      <c r="G13" s="493"/>
      <c r="H13" s="245"/>
      <c r="I13" s="493"/>
      <c r="J13" s="493" t="s">
        <v>523</v>
      </c>
      <c r="K13" s="493"/>
      <c r="L13" s="493" t="s">
        <v>523</v>
      </c>
      <c r="M13" s="493"/>
      <c r="O13" s="246"/>
    </row>
    <row r="14" spans="1:19">
      <c r="B14" s="251"/>
      <c r="C14" s="247" t="s">
        <v>524</v>
      </c>
      <c r="E14" s="493"/>
      <c r="F14" s="493"/>
      <c r="G14" s="493"/>
      <c r="H14" s="493"/>
      <c r="I14" s="493"/>
      <c r="J14" s="493" t="s">
        <v>525</v>
      </c>
      <c r="K14" s="493"/>
      <c r="L14" s="493" t="s">
        <v>526</v>
      </c>
      <c r="M14" s="493"/>
    </row>
    <row r="15" spans="1:19">
      <c r="A15" s="493">
        <v>1</v>
      </c>
      <c r="B15" s="259" t="s">
        <v>527</v>
      </c>
      <c r="C15" s="259" t="s">
        <v>207</v>
      </c>
      <c r="D15" s="952">
        <v>2016</v>
      </c>
      <c r="E15" s="497">
        <v>1</v>
      </c>
      <c r="F15" s="751">
        <v>0</v>
      </c>
      <c r="G15" s="751">
        <f>'4C - ADIT EOY'!E100</f>
        <v>-266240038</v>
      </c>
      <c r="H15" s="752">
        <f t="shared" ref="H15:H27" si="0">+H$12*G15</f>
        <v>-266240038</v>
      </c>
      <c r="I15" s="751">
        <f>'4C - ADIT EOY'!F100</f>
        <v>0</v>
      </c>
      <c r="J15" s="752">
        <f t="shared" ref="J15:J27" si="1">+I15*J$12</f>
        <v>0</v>
      </c>
      <c r="K15" s="751">
        <f>'4C - ADIT EOY'!G100</f>
        <v>-33359806</v>
      </c>
      <c r="L15" s="752">
        <f t="shared" ref="L15:L27" si="2">+K15*L$12</f>
        <v>-3923121.8164396244</v>
      </c>
      <c r="M15" s="751">
        <f t="shared" ref="M15:M27" si="3">(L15+J15+H15)*E15</f>
        <v>-270163159.81643963</v>
      </c>
      <c r="N15" s="498"/>
      <c r="O15" s="249"/>
      <c r="P15" s="249"/>
      <c r="Q15" s="249"/>
      <c r="R15" s="249"/>
      <c r="S15" s="249"/>
    </row>
    <row r="16" spans="1:19">
      <c r="A16" s="493">
        <v>2</v>
      </c>
      <c r="B16" s="259" t="s">
        <v>528</v>
      </c>
      <c r="C16" s="259" t="s">
        <v>89</v>
      </c>
      <c r="D16" s="952">
        <f>+D15+1</f>
        <v>2017</v>
      </c>
      <c r="E16" s="497">
        <v>0.9178082191780822</v>
      </c>
      <c r="F16" s="752">
        <v>0</v>
      </c>
      <c r="G16" s="752">
        <v>-1044984.8766819848</v>
      </c>
      <c r="H16" s="752">
        <f t="shared" si="0"/>
        <v>-1044984.8766819848</v>
      </c>
      <c r="I16" s="752">
        <v>0</v>
      </c>
      <c r="J16" s="752">
        <f t="shared" si="1"/>
        <v>0</v>
      </c>
      <c r="K16" s="751">
        <v>-323010.71249999997</v>
      </c>
      <c r="L16" s="752">
        <f t="shared" si="2"/>
        <v>-37986.143359240668</v>
      </c>
      <c r="M16" s="751">
        <f t="shared" si="3"/>
        <v>-993959.70332550828</v>
      </c>
      <c r="N16" s="499"/>
      <c r="O16" s="250"/>
      <c r="P16" s="249"/>
      <c r="Q16" s="249"/>
      <c r="R16" s="249"/>
      <c r="S16" s="249"/>
    </row>
    <row r="17" spans="1:19">
      <c r="A17" s="493">
        <f>+A16+1</f>
        <v>3</v>
      </c>
      <c r="B17" s="259" t="s">
        <v>528</v>
      </c>
      <c r="C17" s="251" t="s">
        <v>88</v>
      </c>
      <c r="D17" s="952">
        <f>+D16</f>
        <v>2017</v>
      </c>
      <c r="E17" s="497">
        <v>0.84109589041095889</v>
      </c>
      <c r="F17" s="752">
        <f>+F16</f>
        <v>0</v>
      </c>
      <c r="G17" s="752">
        <v>-1044984.8766819848</v>
      </c>
      <c r="H17" s="752">
        <f t="shared" si="0"/>
        <v>-1044984.8766819848</v>
      </c>
      <c r="I17" s="752">
        <f>+I16</f>
        <v>0</v>
      </c>
      <c r="J17" s="752">
        <f t="shared" si="1"/>
        <v>0</v>
      </c>
      <c r="K17" s="751">
        <v>-323010.71249999997</v>
      </c>
      <c r="L17" s="752">
        <f t="shared" si="2"/>
        <v>-37986.143359240668</v>
      </c>
      <c r="M17" s="751">
        <f t="shared" si="3"/>
        <v>-910882.47439083899</v>
      </c>
      <c r="N17" s="499"/>
      <c r="O17" s="252"/>
      <c r="P17" s="253"/>
      <c r="Q17" s="254"/>
      <c r="R17" s="254"/>
      <c r="S17" s="254"/>
    </row>
    <row r="18" spans="1:19">
      <c r="A18" s="493">
        <f t="shared" ref="A18:A30" si="4">+A17+1</f>
        <v>4</v>
      </c>
      <c r="B18" s="259" t="s">
        <v>528</v>
      </c>
      <c r="C18" s="251" t="s">
        <v>87</v>
      </c>
      <c r="D18" s="952">
        <f t="shared" ref="D18:D28" si="5">+D17</f>
        <v>2017</v>
      </c>
      <c r="E18" s="497">
        <v>0.75616438356164384</v>
      </c>
      <c r="F18" s="752">
        <f>+F17</f>
        <v>0</v>
      </c>
      <c r="G18" s="752">
        <v>-1044984.8766819848</v>
      </c>
      <c r="H18" s="752">
        <f t="shared" si="0"/>
        <v>-1044984.8766819848</v>
      </c>
      <c r="I18" s="752">
        <f t="shared" ref="I18:I27" si="6">+I17</f>
        <v>0</v>
      </c>
      <c r="J18" s="752">
        <f t="shared" si="1"/>
        <v>0</v>
      </c>
      <c r="K18" s="751">
        <v>-323010.71249999997</v>
      </c>
      <c r="L18" s="752">
        <f t="shared" si="2"/>
        <v>-37986.143359240668</v>
      </c>
      <c r="M18" s="751">
        <f t="shared" si="3"/>
        <v>-818904.11378459795</v>
      </c>
      <c r="N18" s="499"/>
      <c r="O18" s="253"/>
      <c r="P18" s="255"/>
      <c r="Q18" s="254"/>
      <c r="R18" s="254"/>
      <c r="S18" s="256"/>
    </row>
    <row r="19" spans="1:19">
      <c r="A19" s="493">
        <f t="shared" si="4"/>
        <v>5</v>
      </c>
      <c r="B19" s="259" t="s">
        <v>528</v>
      </c>
      <c r="C19" s="251" t="s">
        <v>79</v>
      </c>
      <c r="D19" s="952">
        <f t="shared" si="5"/>
        <v>2017</v>
      </c>
      <c r="E19" s="497">
        <v>0.67397260273972603</v>
      </c>
      <c r="F19" s="752">
        <f t="shared" ref="F19:F27" si="7">+F18</f>
        <v>0</v>
      </c>
      <c r="G19" s="752">
        <v>-1044984.8766819848</v>
      </c>
      <c r="H19" s="752">
        <f t="shared" si="0"/>
        <v>-1044984.8766819848</v>
      </c>
      <c r="I19" s="752">
        <f t="shared" si="6"/>
        <v>0</v>
      </c>
      <c r="J19" s="752">
        <f t="shared" si="1"/>
        <v>0</v>
      </c>
      <c r="K19" s="751">
        <v>-323010.71249999997</v>
      </c>
      <c r="L19" s="752">
        <f t="shared" si="2"/>
        <v>-37986.143359240668</v>
      </c>
      <c r="M19" s="751">
        <f t="shared" si="3"/>
        <v>-729892.79706888075</v>
      </c>
      <c r="N19" s="499"/>
      <c r="O19" s="253"/>
      <c r="P19" s="255"/>
      <c r="Q19" s="254"/>
      <c r="R19" s="254"/>
      <c r="S19" s="256"/>
    </row>
    <row r="20" spans="1:19">
      <c r="A20" s="493">
        <f t="shared" si="4"/>
        <v>6</v>
      </c>
      <c r="B20" s="259" t="s">
        <v>528</v>
      </c>
      <c r="C20" s="251" t="s">
        <v>78</v>
      </c>
      <c r="D20" s="952">
        <f t="shared" si="5"/>
        <v>2017</v>
      </c>
      <c r="E20" s="497">
        <v>0.58904109589041098</v>
      </c>
      <c r="F20" s="752">
        <f t="shared" si="7"/>
        <v>0</v>
      </c>
      <c r="G20" s="752">
        <v>-1044984.8766819848</v>
      </c>
      <c r="H20" s="752">
        <f t="shared" si="0"/>
        <v>-1044984.8766819848</v>
      </c>
      <c r="I20" s="752">
        <f t="shared" si="6"/>
        <v>0</v>
      </c>
      <c r="J20" s="752">
        <f t="shared" si="1"/>
        <v>0</v>
      </c>
      <c r="K20" s="751">
        <v>-323010.71249999997</v>
      </c>
      <c r="L20" s="752">
        <f t="shared" si="2"/>
        <v>-37986.143359240668</v>
      </c>
      <c r="M20" s="751">
        <f t="shared" si="3"/>
        <v>-637914.43646263971</v>
      </c>
      <c r="N20" s="499"/>
      <c r="O20" s="253"/>
      <c r="P20" s="255"/>
      <c r="Q20" s="254"/>
      <c r="R20" s="254"/>
      <c r="S20" s="256"/>
    </row>
    <row r="21" spans="1:19">
      <c r="A21" s="493">
        <f t="shared" si="4"/>
        <v>7</v>
      </c>
      <c r="B21" s="259" t="s">
        <v>528</v>
      </c>
      <c r="C21" s="251" t="s">
        <v>98</v>
      </c>
      <c r="D21" s="952">
        <f t="shared" si="5"/>
        <v>2017</v>
      </c>
      <c r="E21" s="497">
        <v>0.50684931506849318</v>
      </c>
      <c r="F21" s="752">
        <f t="shared" si="7"/>
        <v>0</v>
      </c>
      <c r="G21" s="752">
        <v>-1044984.8766819848</v>
      </c>
      <c r="H21" s="752">
        <f t="shared" si="0"/>
        <v>-1044984.8766819848</v>
      </c>
      <c r="I21" s="752">
        <f t="shared" si="6"/>
        <v>0</v>
      </c>
      <c r="J21" s="752">
        <f t="shared" si="1"/>
        <v>0</v>
      </c>
      <c r="K21" s="751">
        <v>-323010.71249999997</v>
      </c>
      <c r="L21" s="752">
        <f t="shared" si="2"/>
        <v>-37986.143359240668</v>
      </c>
      <c r="M21" s="751">
        <f t="shared" si="3"/>
        <v>-548903.11974692252</v>
      </c>
      <c r="N21" s="499"/>
      <c r="O21" s="253"/>
      <c r="P21" s="255"/>
      <c r="Q21" s="254"/>
      <c r="R21" s="254"/>
      <c r="S21" s="256"/>
    </row>
    <row r="22" spans="1:19">
      <c r="A22" s="493">
        <f t="shared" si="4"/>
        <v>8</v>
      </c>
      <c r="B22" s="259" t="s">
        <v>528</v>
      </c>
      <c r="C22" s="251" t="s">
        <v>86</v>
      </c>
      <c r="D22" s="952">
        <f t="shared" si="5"/>
        <v>2017</v>
      </c>
      <c r="E22" s="497">
        <v>0.42191780821917807</v>
      </c>
      <c r="F22" s="752">
        <f t="shared" si="7"/>
        <v>0</v>
      </c>
      <c r="G22" s="752">
        <v>-1044984.8766819848</v>
      </c>
      <c r="H22" s="752">
        <f t="shared" si="0"/>
        <v>-1044984.8766819848</v>
      </c>
      <c r="I22" s="752">
        <f t="shared" si="6"/>
        <v>0</v>
      </c>
      <c r="J22" s="752">
        <f t="shared" si="1"/>
        <v>0</v>
      </c>
      <c r="K22" s="751">
        <v>-323010.71249999997</v>
      </c>
      <c r="L22" s="752">
        <f t="shared" si="2"/>
        <v>-37986.143359240668</v>
      </c>
      <c r="M22" s="751">
        <f t="shared" si="3"/>
        <v>-456924.75914068142</v>
      </c>
      <c r="N22" s="499"/>
      <c r="O22" s="253"/>
      <c r="P22" s="255"/>
      <c r="Q22" s="254"/>
      <c r="R22" s="254"/>
      <c r="S22" s="256"/>
    </row>
    <row r="23" spans="1:19">
      <c r="A23" s="493">
        <f t="shared" si="4"/>
        <v>9</v>
      </c>
      <c r="B23" s="259" t="s">
        <v>528</v>
      </c>
      <c r="C23" s="251" t="s">
        <v>85</v>
      </c>
      <c r="D23" s="952">
        <f t="shared" si="5"/>
        <v>2017</v>
      </c>
      <c r="E23" s="497">
        <v>0.33698630136986302</v>
      </c>
      <c r="F23" s="752">
        <f t="shared" si="7"/>
        <v>0</v>
      </c>
      <c r="G23" s="752">
        <v>-1044984.8766819848</v>
      </c>
      <c r="H23" s="752">
        <f t="shared" si="0"/>
        <v>-1044984.8766819848</v>
      </c>
      <c r="I23" s="752">
        <f t="shared" si="6"/>
        <v>0</v>
      </c>
      <c r="J23" s="752">
        <f t="shared" si="1"/>
        <v>0</v>
      </c>
      <c r="K23" s="751">
        <v>-323010.71249999997</v>
      </c>
      <c r="L23" s="752">
        <f t="shared" si="2"/>
        <v>-37986.143359240668</v>
      </c>
      <c r="M23" s="751">
        <f t="shared" si="3"/>
        <v>-364946.39853444038</v>
      </c>
      <c r="N23" s="499"/>
      <c r="O23" s="253"/>
      <c r="P23" s="255"/>
      <c r="Q23" s="254"/>
      <c r="R23" s="254"/>
      <c r="S23" s="256"/>
    </row>
    <row r="24" spans="1:19">
      <c r="A24" s="493">
        <f t="shared" si="4"/>
        <v>10</v>
      </c>
      <c r="B24" s="259" t="s">
        <v>528</v>
      </c>
      <c r="C24" s="251" t="s">
        <v>84</v>
      </c>
      <c r="D24" s="952">
        <f t="shared" si="5"/>
        <v>2017</v>
      </c>
      <c r="E24" s="497">
        <v>0.25479452054794521</v>
      </c>
      <c r="F24" s="752">
        <f t="shared" si="7"/>
        <v>0</v>
      </c>
      <c r="G24" s="752">
        <v>-1044984.8766819848</v>
      </c>
      <c r="H24" s="752">
        <f t="shared" si="0"/>
        <v>-1044984.8766819848</v>
      </c>
      <c r="I24" s="752">
        <f t="shared" si="6"/>
        <v>0</v>
      </c>
      <c r="J24" s="752">
        <f t="shared" si="1"/>
        <v>0</v>
      </c>
      <c r="K24" s="751">
        <v>-323010.71249999997</v>
      </c>
      <c r="L24" s="752">
        <f t="shared" si="2"/>
        <v>-37986.143359240668</v>
      </c>
      <c r="M24" s="751">
        <f t="shared" si="3"/>
        <v>-275935.08181872324</v>
      </c>
      <c r="N24" s="499"/>
      <c r="O24" s="253"/>
      <c r="P24" s="255"/>
      <c r="Q24" s="254"/>
      <c r="R24" s="254"/>
      <c r="S24" s="256"/>
    </row>
    <row r="25" spans="1:19">
      <c r="A25" s="493">
        <f t="shared" si="4"/>
        <v>11</v>
      </c>
      <c r="B25" s="259" t="s">
        <v>528</v>
      </c>
      <c r="C25" s="251" t="s">
        <v>90</v>
      </c>
      <c r="D25" s="952">
        <f t="shared" si="5"/>
        <v>2017</v>
      </c>
      <c r="E25" s="497">
        <v>0.16986301369863013</v>
      </c>
      <c r="F25" s="752">
        <f t="shared" si="7"/>
        <v>0</v>
      </c>
      <c r="G25" s="752">
        <v>-1044984.8766819848</v>
      </c>
      <c r="H25" s="752">
        <f t="shared" si="0"/>
        <v>-1044984.8766819848</v>
      </c>
      <c r="I25" s="752">
        <f t="shared" si="6"/>
        <v>0</v>
      </c>
      <c r="J25" s="752">
        <f t="shared" si="1"/>
        <v>0</v>
      </c>
      <c r="K25" s="751">
        <v>-323010.71249999997</v>
      </c>
      <c r="L25" s="752">
        <f t="shared" si="2"/>
        <v>-37986.143359240668</v>
      </c>
      <c r="M25" s="751">
        <f t="shared" si="3"/>
        <v>-183956.72121248214</v>
      </c>
      <c r="N25" s="499"/>
      <c r="O25" s="253"/>
      <c r="P25" s="255"/>
      <c r="Q25" s="254"/>
      <c r="R25" s="254"/>
      <c r="S25" s="256"/>
    </row>
    <row r="26" spans="1:19">
      <c r="A26" s="493">
        <f t="shared" si="4"/>
        <v>12</v>
      </c>
      <c r="B26" s="259" t="s">
        <v>528</v>
      </c>
      <c r="C26" s="251" t="s">
        <v>83</v>
      </c>
      <c r="D26" s="952">
        <f t="shared" si="5"/>
        <v>2017</v>
      </c>
      <c r="E26" s="497">
        <v>8.7671232876712329E-2</v>
      </c>
      <c r="F26" s="752">
        <f t="shared" si="7"/>
        <v>0</v>
      </c>
      <c r="G26" s="752">
        <v>-1044984.8766819848</v>
      </c>
      <c r="H26" s="752">
        <f t="shared" si="0"/>
        <v>-1044984.8766819848</v>
      </c>
      <c r="I26" s="752">
        <f t="shared" si="6"/>
        <v>0</v>
      </c>
      <c r="J26" s="752">
        <f t="shared" si="1"/>
        <v>0</v>
      </c>
      <c r="K26" s="751">
        <v>-323010.71249999997</v>
      </c>
      <c r="L26" s="752">
        <f t="shared" si="2"/>
        <v>-37986.143359240668</v>
      </c>
      <c r="M26" s="751">
        <f t="shared" si="3"/>
        <v>-94945.404496764968</v>
      </c>
      <c r="N26" s="499"/>
      <c r="O26" s="253"/>
      <c r="P26" s="255"/>
      <c r="Q26" s="254"/>
      <c r="R26" s="254"/>
      <c r="S26" s="256"/>
    </row>
    <row r="27" spans="1:19">
      <c r="A27" s="493">
        <f t="shared" si="4"/>
        <v>13</v>
      </c>
      <c r="B27" s="259" t="s">
        <v>528</v>
      </c>
      <c r="C27" s="259" t="str">
        <f>+C15</f>
        <v xml:space="preserve">December </v>
      </c>
      <c r="D27" s="952">
        <f t="shared" si="5"/>
        <v>2017</v>
      </c>
      <c r="E27" s="497">
        <v>2.7397260273972603E-3</v>
      </c>
      <c r="F27" s="752">
        <f t="shared" si="7"/>
        <v>0</v>
      </c>
      <c r="G27" s="752">
        <v>-1044984.8766819848</v>
      </c>
      <c r="H27" s="752">
        <f t="shared" si="0"/>
        <v>-1044984.8766819848</v>
      </c>
      <c r="I27" s="752">
        <f t="shared" si="6"/>
        <v>0</v>
      </c>
      <c r="J27" s="752">
        <f t="shared" si="1"/>
        <v>0</v>
      </c>
      <c r="K27" s="751">
        <v>-323010.71249999997</v>
      </c>
      <c r="L27" s="752">
        <f t="shared" si="2"/>
        <v>-37986.143359240668</v>
      </c>
      <c r="M27" s="751">
        <f t="shared" si="3"/>
        <v>-2967.0438905239052</v>
      </c>
      <c r="N27" s="499"/>
      <c r="O27" s="253"/>
      <c r="P27" s="255"/>
      <c r="Q27" s="254"/>
      <c r="R27" s="254"/>
      <c r="S27" s="256"/>
    </row>
    <row r="28" spans="1:19">
      <c r="A28" s="493">
        <f t="shared" si="4"/>
        <v>14</v>
      </c>
      <c r="B28" s="259" t="s">
        <v>529</v>
      </c>
      <c r="D28" s="952">
        <f t="shared" si="5"/>
        <v>2017</v>
      </c>
      <c r="E28" s="257" t="s">
        <v>527</v>
      </c>
      <c r="F28" s="248">
        <f>SUM(F15:F27)</f>
        <v>0</v>
      </c>
      <c r="G28" s="248">
        <f>SUM(G15:G27)</f>
        <v>-278779856.5201838</v>
      </c>
      <c r="H28" s="248">
        <f>SUM(H15:H27)</f>
        <v>-278779856.5201838</v>
      </c>
      <c r="I28" s="248">
        <f>SUM(I15:I27)</f>
        <v>0</v>
      </c>
      <c r="J28" s="248">
        <f>+J12*I28</f>
        <v>0</v>
      </c>
      <c r="K28" s="248">
        <f>SUM(K15:K27)</f>
        <v>-37235934.549999982</v>
      </c>
      <c r="L28" s="248">
        <f>SUM(L15:L27)</f>
        <v>-4378955.5367505141</v>
      </c>
      <c r="M28" s="248">
        <f>SUM(M15:M27)</f>
        <v>-276183291.87031269</v>
      </c>
      <c r="O28" s="253"/>
      <c r="P28" s="255"/>
      <c r="Q28" s="254"/>
      <c r="R28" s="254"/>
      <c r="S28" s="256"/>
    </row>
    <row r="29" spans="1:19">
      <c r="A29" s="493">
        <f t="shared" si="4"/>
        <v>15</v>
      </c>
      <c r="B29" s="259" t="s">
        <v>528</v>
      </c>
      <c r="C29" s="259" t="s">
        <v>952</v>
      </c>
      <c r="D29" s="952">
        <v>2017</v>
      </c>
      <c r="E29" s="257"/>
      <c r="F29" s="257"/>
      <c r="G29" s="752">
        <v>-9117785.7720270213</v>
      </c>
      <c r="H29" s="752">
        <f>G29</f>
        <v>-9117785.7720270213</v>
      </c>
      <c r="I29" s="752"/>
      <c r="J29" s="751"/>
      <c r="K29" s="751"/>
      <c r="L29" s="751">
        <v>0</v>
      </c>
      <c r="M29" s="751">
        <f>H29+J29+L29</f>
        <v>-9117785.7720270213</v>
      </c>
      <c r="O29" s="253"/>
      <c r="P29" s="255"/>
      <c r="Q29" s="254"/>
      <c r="R29" s="254"/>
      <c r="S29" s="256"/>
    </row>
    <row r="30" spans="1:19">
      <c r="A30" s="493">
        <f t="shared" si="4"/>
        <v>16</v>
      </c>
      <c r="B30" s="259" t="s">
        <v>13</v>
      </c>
      <c r="D30" s="797"/>
      <c r="G30" s="794">
        <f>SUM(G28:G29)</f>
        <v>-287897642.29221082</v>
      </c>
      <c r="H30" s="794">
        <f>SUM(H28:H29)</f>
        <v>-287897642.29221082</v>
      </c>
      <c r="I30" s="794"/>
      <c r="J30" s="794"/>
      <c r="K30" s="794">
        <f>SUM(K28:K29)</f>
        <v>-37235934.549999982</v>
      </c>
      <c r="L30" s="794">
        <f>SUM(L28:L29)</f>
        <v>-4378955.5367505141</v>
      </c>
      <c r="M30" s="794">
        <f>SUM(M28:M29)</f>
        <v>-285301077.64233971</v>
      </c>
    </row>
    <row r="31" spans="1:19">
      <c r="B31" s="251"/>
      <c r="C31" s="247" t="s">
        <v>530</v>
      </c>
      <c r="D31" s="797"/>
    </row>
    <row r="32" spans="1:19">
      <c r="A32" s="493">
        <f>A30+1</f>
        <v>17</v>
      </c>
      <c r="B32" s="251" t="s">
        <v>527</v>
      </c>
      <c r="C32" s="251" t="s">
        <v>207</v>
      </c>
      <c r="D32" s="952">
        <f>+D15</f>
        <v>2016</v>
      </c>
      <c r="F32" s="572">
        <v>0</v>
      </c>
      <c r="G32" s="572">
        <f>'4C - ADIT EOY'!E154</f>
        <v>0</v>
      </c>
      <c r="H32" s="572">
        <f>+G32*H12</f>
        <v>0</v>
      </c>
      <c r="I32" s="572">
        <f>'4C - ADIT EOY'!F154</f>
        <v>-6327127.6591433417</v>
      </c>
      <c r="J32" s="572">
        <f>+I32*J12</f>
        <v>-1174161.2656747743</v>
      </c>
      <c r="K32" s="572">
        <f>'4C - ADIT EOY'!G154</f>
        <v>-108024769.61478905</v>
      </c>
      <c r="L32" s="572">
        <f>+K32*L12</f>
        <v>-12703740.8548372</v>
      </c>
      <c r="M32" s="574">
        <f>+L32+J32+H32</f>
        <v>-13877902.120511973</v>
      </c>
    </row>
    <row r="33" spans="1:19">
      <c r="A33" s="493">
        <f>+A32+1</f>
        <v>18</v>
      </c>
      <c r="B33" s="251" t="s">
        <v>527</v>
      </c>
      <c r="C33" s="251" t="str">
        <f>+C32</f>
        <v xml:space="preserve">December </v>
      </c>
      <c r="D33" s="952">
        <f>+D32+1</f>
        <v>2017</v>
      </c>
      <c r="F33" s="572">
        <v>0</v>
      </c>
      <c r="G33" s="572">
        <f>G32</f>
        <v>0</v>
      </c>
      <c r="H33" s="572">
        <f>+G33*H12</f>
        <v>0</v>
      </c>
      <c r="I33" s="572">
        <f>I32</f>
        <v>-6327127.6591433417</v>
      </c>
      <c r="J33" s="572">
        <f>+I33*J12</f>
        <v>-1174161.2656747743</v>
      </c>
      <c r="K33" s="572">
        <f>K32</f>
        <v>-108024769.61478905</v>
      </c>
      <c r="L33" s="572">
        <f>+K33*L12</f>
        <v>-12703740.8548372</v>
      </c>
      <c r="M33" s="574">
        <f>+L33+J33+H33</f>
        <v>-13877902.120511973</v>
      </c>
    </row>
    <row r="34" spans="1:19">
      <c r="A34" s="493">
        <f>+A33+1</f>
        <v>19</v>
      </c>
      <c r="B34" s="251"/>
      <c r="C34" s="251" t="s">
        <v>531</v>
      </c>
      <c r="D34" s="797"/>
      <c r="F34" s="248">
        <f t="shared" ref="F34:L34" si="8">+F32/2+F33/2</f>
        <v>0</v>
      </c>
      <c r="G34" s="248">
        <f t="shared" si="8"/>
        <v>0</v>
      </c>
      <c r="H34" s="248">
        <f t="shared" si="8"/>
        <v>0</v>
      </c>
      <c r="I34" s="248">
        <f t="shared" si="8"/>
        <v>-6327127.6591433417</v>
      </c>
      <c r="J34" s="248">
        <f t="shared" si="8"/>
        <v>-1174161.2656747743</v>
      </c>
      <c r="K34" s="248">
        <f t="shared" si="8"/>
        <v>-108024769.61478905</v>
      </c>
      <c r="L34" s="248">
        <f t="shared" si="8"/>
        <v>-12703740.8548372</v>
      </c>
      <c r="M34" s="500">
        <f>+L34+J34+H34</f>
        <v>-13877902.120511973</v>
      </c>
    </row>
    <row r="35" spans="1:19">
      <c r="B35" s="251"/>
      <c r="C35" s="251"/>
      <c r="D35" s="797"/>
      <c r="E35" s="248"/>
      <c r="G35" s="260"/>
      <c r="H35" s="248"/>
      <c r="I35" s="248"/>
      <c r="J35" s="248"/>
      <c r="K35" s="248"/>
    </row>
    <row r="36" spans="1:19">
      <c r="B36" s="251"/>
      <c r="C36" s="251"/>
      <c r="D36" s="797"/>
      <c r="E36" s="248"/>
      <c r="F36" s="248"/>
      <c r="G36" s="248"/>
      <c r="I36" s="260"/>
      <c r="J36" s="248"/>
      <c r="K36" s="248"/>
    </row>
    <row r="37" spans="1:19">
      <c r="B37" s="251"/>
      <c r="C37" s="247" t="s">
        <v>532</v>
      </c>
      <c r="D37" s="797"/>
    </row>
    <row r="38" spans="1:19">
      <c r="A38" s="493">
        <f>A34+1</f>
        <v>20</v>
      </c>
      <c r="B38" s="251" t="s">
        <v>527</v>
      </c>
      <c r="C38" s="251" t="s">
        <v>207</v>
      </c>
      <c r="D38" s="952">
        <f>D32</f>
        <v>2016</v>
      </c>
      <c r="E38" s="490"/>
      <c r="F38" s="248" t="s">
        <v>749</v>
      </c>
      <c r="G38" s="248" t="s">
        <v>749</v>
      </c>
      <c r="H38" s="248" t="s">
        <v>749</v>
      </c>
      <c r="I38" s="248" t="s">
        <v>749</v>
      </c>
      <c r="J38" s="248" t="s">
        <v>749</v>
      </c>
      <c r="K38" s="248" t="s">
        <v>749</v>
      </c>
      <c r="L38" s="248" t="s">
        <v>749</v>
      </c>
      <c r="M38" s="248" t="s">
        <v>749</v>
      </c>
    </row>
    <row r="39" spans="1:19">
      <c r="A39" s="493">
        <f>+A38+1</f>
        <v>21</v>
      </c>
      <c r="B39" s="251" t="s">
        <v>527</v>
      </c>
      <c r="C39" s="251" t="str">
        <f>+C38</f>
        <v xml:space="preserve">December </v>
      </c>
      <c r="D39" s="952">
        <f>D33</f>
        <v>2017</v>
      </c>
      <c r="E39" s="490"/>
      <c r="F39" s="248" t="s">
        <v>749</v>
      </c>
      <c r="G39" s="248" t="s">
        <v>749</v>
      </c>
      <c r="H39" s="248" t="s">
        <v>749</v>
      </c>
      <c r="I39" s="248" t="s">
        <v>749</v>
      </c>
      <c r="J39" s="248" t="s">
        <v>749</v>
      </c>
      <c r="K39" s="248" t="s">
        <v>749</v>
      </c>
      <c r="L39" s="248" t="s">
        <v>749</v>
      </c>
      <c r="M39" s="248" t="s">
        <v>749</v>
      </c>
    </row>
    <row r="40" spans="1:19">
      <c r="A40" s="493">
        <f>+A39+1</f>
        <v>22</v>
      </c>
      <c r="B40" s="251"/>
      <c r="C40" s="251" t="s">
        <v>531</v>
      </c>
      <c r="D40" s="797"/>
      <c r="E40" s="490"/>
      <c r="F40" s="248" t="s">
        <v>749</v>
      </c>
      <c r="G40" s="248" t="s">
        <v>749</v>
      </c>
      <c r="H40" s="248" t="s">
        <v>749</v>
      </c>
      <c r="I40" s="248" t="s">
        <v>749</v>
      </c>
      <c r="J40" s="248" t="s">
        <v>749</v>
      </c>
      <c r="K40" s="248" t="s">
        <v>749</v>
      </c>
      <c r="L40" s="248" t="s">
        <v>749</v>
      </c>
      <c r="M40" s="248" t="s">
        <v>749</v>
      </c>
    </row>
    <row r="41" spans="1:19">
      <c r="B41" s="251"/>
      <c r="C41" s="251"/>
      <c r="D41" s="797"/>
      <c r="E41" s="248"/>
      <c r="F41" s="248"/>
      <c r="G41" s="248"/>
      <c r="H41" s="248"/>
      <c r="I41" s="248"/>
      <c r="J41" s="248"/>
      <c r="K41" s="248"/>
      <c r="L41" s="500"/>
    </row>
    <row r="42" spans="1:19">
      <c r="B42" s="251"/>
      <c r="C42" s="251"/>
      <c r="D42" s="797"/>
      <c r="E42" s="258"/>
      <c r="F42" s="258"/>
      <c r="G42" s="258"/>
      <c r="H42" s="258"/>
      <c r="I42" s="258"/>
      <c r="J42" s="258"/>
      <c r="K42" s="258"/>
    </row>
    <row r="43" spans="1:19">
      <c r="B43" s="251"/>
      <c r="C43" s="247" t="s">
        <v>533</v>
      </c>
      <c r="D43" s="797"/>
      <c r="E43" s="258"/>
      <c r="F43" s="258"/>
      <c r="G43" s="258"/>
      <c r="H43" s="258"/>
      <c r="I43" s="258"/>
      <c r="J43" s="258"/>
      <c r="K43" s="258"/>
    </row>
    <row r="44" spans="1:19">
      <c r="A44" s="493">
        <f>+A40+1</f>
        <v>23</v>
      </c>
      <c r="B44" s="259" t="s">
        <v>527</v>
      </c>
      <c r="C44" s="259" t="s">
        <v>207</v>
      </c>
      <c r="D44" s="952">
        <f>D15</f>
        <v>2016</v>
      </c>
      <c r="E44" s="497">
        <v>1</v>
      </c>
      <c r="F44" s="572">
        <v>0</v>
      </c>
      <c r="G44" s="572">
        <f>+'4C - ADIT EOY'!E65</f>
        <v>0</v>
      </c>
      <c r="H44" s="572">
        <f t="shared" ref="H44:H56" si="9">+H$12*G44</f>
        <v>0</v>
      </c>
      <c r="I44" s="572">
        <f>'4C - ADIT EOY'!F65</f>
        <v>7420671.0091658449</v>
      </c>
      <c r="J44" s="572">
        <f t="shared" ref="J44:J56" si="10">+I44*J$12</f>
        <v>1377096.3593072144</v>
      </c>
      <c r="K44" s="572">
        <f>'4C - ADIT EOY'!G65</f>
        <v>153189182</v>
      </c>
      <c r="L44" s="572">
        <f t="shared" ref="L44:L56" si="11">+K44*L$12</f>
        <v>18015087.436262075</v>
      </c>
      <c r="M44" s="573">
        <f>+L44+J44+H44</f>
        <v>19392183.795569289</v>
      </c>
      <c r="N44" s="794"/>
      <c r="O44" s="261"/>
      <c r="P44" s="261"/>
      <c r="Q44" s="261"/>
      <c r="R44" s="261"/>
      <c r="S44" s="261"/>
    </row>
    <row r="45" spans="1:19">
      <c r="A45" s="493">
        <f>+A44+1</f>
        <v>24</v>
      </c>
      <c r="B45" s="259" t="s">
        <v>528</v>
      </c>
      <c r="C45" s="259" t="s">
        <v>89</v>
      </c>
      <c r="D45" s="952">
        <f>+D44+1</f>
        <v>2017</v>
      </c>
      <c r="E45" s="497">
        <v>0.9178082191780822</v>
      </c>
      <c r="F45" s="572">
        <v>0</v>
      </c>
      <c r="G45" s="572"/>
      <c r="H45" s="572">
        <f t="shared" si="9"/>
        <v>0</v>
      </c>
      <c r="I45" s="572">
        <v>0</v>
      </c>
      <c r="J45" s="572">
        <f t="shared" si="10"/>
        <v>0</v>
      </c>
      <c r="K45" s="573">
        <v>0</v>
      </c>
      <c r="L45" s="572">
        <f t="shared" si="11"/>
        <v>0</v>
      </c>
      <c r="M45" s="573">
        <f t="shared" ref="M45:M55" si="12">(L45+J45+H45)*E45</f>
        <v>0</v>
      </c>
      <c r="N45" s="499"/>
      <c r="O45" s="262"/>
      <c r="P45" s="261"/>
      <c r="Q45" s="261"/>
      <c r="R45" s="261"/>
      <c r="S45" s="262"/>
    </row>
    <row r="46" spans="1:19">
      <c r="A46" s="493">
        <f t="shared" ref="A46:A56" si="13">+A45+1</f>
        <v>25</v>
      </c>
      <c r="B46" s="259" t="s">
        <v>528</v>
      </c>
      <c r="C46" s="251" t="s">
        <v>88</v>
      </c>
      <c r="D46" s="952">
        <f>+D45</f>
        <v>2017</v>
      </c>
      <c r="E46" s="497">
        <v>0.84109589041095889</v>
      </c>
      <c r="F46" s="572">
        <v>0</v>
      </c>
      <c r="G46" s="572">
        <v>0</v>
      </c>
      <c r="H46" s="572">
        <f t="shared" si="9"/>
        <v>0</v>
      </c>
      <c r="I46" s="572">
        <v>0</v>
      </c>
      <c r="J46" s="572">
        <f t="shared" si="10"/>
        <v>0</v>
      </c>
      <c r="K46" s="573">
        <v>0</v>
      </c>
      <c r="L46" s="572">
        <f t="shared" si="11"/>
        <v>0</v>
      </c>
      <c r="M46" s="573">
        <f t="shared" si="12"/>
        <v>0</v>
      </c>
      <c r="N46" s="499"/>
      <c r="O46" s="262"/>
      <c r="P46" s="261"/>
      <c r="Q46" s="261"/>
      <c r="R46" s="261"/>
      <c r="S46" s="262"/>
    </row>
    <row r="47" spans="1:19">
      <c r="A47" s="493">
        <f t="shared" si="13"/>
        <v>26</v>
      </c>
      <c r="B47" s="259" t="s">
        <v>528</v>
      </c>
      <c r="C47" s="251" t="s">
        <v>87</v>
      </c>
      <c r="D47" s="952">
        <f t="shared" ref="D47:D57" si="14">+D46</f>
        <v>2017</v>
      </c>
      <c r="E47" s="497">
        <v>0.75616438356164384</v>
      </c>
      <c r="F47" s="572">
        <v>0</v>
      </c>
      <c r="G47" s="572">
        <v>0</v>
      </c>
      <c r="H47" s="572">
        <f t="shared" si="9"/>
        <v>0</v>
      </c>
      <c r="I47" s="572">
        <v>0</v>
      </c>
      <c r="J47" s="572">
        <f t="shared" si="10"/>
        <v>0</v>
      </c>
      <c r="K47" s="573">
        <v>0</v>
      </c>
      <c r="L47" s="572">
        <f t="shared" si="11"/>
        <v>0</v>
      </c>
      <c r="M47" s="573">
        <f t="shared" si="12"/>
        <v>0</v>
      </c>
      <c r="N47" s="499"/>
      <c r="O47" s="262"/>
      <c r="P47" s="261"/>
      <c r="Q47" s="261"/>
      <c r="R47" s="261"/>
      <c r="S47" s="262"/>
    </row>
    <row r="48" spans="1:19">
      <c r="A48" s="493">
        <f t="shared" si="13"/>
        <v>27</v>
      </c>
      <c r="B48" s="259" t="s">
        <v>528</v>
      </c>
      <c r="C48" s="251" t="s">
        <v>79</v>
      </c>
      <c r="D48" s="952">
        <f t="shared" si="14"/>
        <v>2017</v>
      </c>
      <c r="E48" s="497">
        <v>0.67397260273972603</v>
      </c>
      <c r="F48" s="572">
        <v>0</v>
      </c>
      <c r="G48" s="572">
        <v>0</v>
      </c>
      <c r="H48" s="572">
        <f t="shared" si="9"/>
        <v>0</v>
      </c>
      <c r="I48" s="572">
        <v>0</v>
      </c>
      <c r="J48" s="572">
        <f t="shared" si="10"/>
        <v>0</v>
      </c>
      <c r="K48" s="573">
        <v>0</v>
      </c>
      <c r="L48" s="572">
        <f t="shared" si="11"/>
        <v>0</v>
      </c>
      <c r="M48" s="573">
        <f t="shared" si="12"/>
        <v>0</v>
      </c>
      <c r="N48" s="499"/>
      <c r="O48" s="262"/>
      <c r="P48" s="261"/>
      <c r="Q48" s="261"/>
      <c r="R48" s="261"/>
      <c r="S48" s="262"/>
    </row>
    <row r="49" spans="1:19">
      <c r="A49" s="493">
        <f t="shared" si="13"/>
        <v>28</v>
      </c>
      <c r="B49" s="259" t="s">
        <v>528</v>
      </c>
      <c r="C49" s="251" t="s">
        <v>78</v>
      </c>
      <c r="D49" s="952">
        <f t="shared" si="14"/>
        <v>2017</v>
      </c>
      <c r="E49" s="497">
        <v>0.58904109589041098</v>
      </c>
      <c r="F49" s="572">
        <v>0</v>
      </c>
      <c r="G49" s="572">
        <v>0</v>
      </c>
      <c r="H49" s="572">
        <f t="shared" si="9"/>
        <v>0</v>
      </c>
      <c r="I49" s="572">
        <v>0</v>
      </c>
      <c r="J49" s="572">
        <f t="shared" si="10"/>
        <v>0</v>
      </c>
      <c r="K49" s="573">
        <v>0</v>
      </c>
      <c r="L49" s="572">
        <f t="shared" si="11"/>
        <v>0</v>
      </c>
      <c r="M49" s="573">
        <f t="shared" si="12"/>
        <v>0</v>
      </c>
      <c r="N49" s="499"/>
      <c r="O49" s="262"/>
      <c r="P49" s="261"/>
      <c r="Q49" s="261"/>
      <c r="R49" s="261"/>
      <c r="S49" s="262"/>
    </row>
    <row r="50" spans="1:19">
      <c r="A50" s="493">
        <f t="shared" si="13"/>
        <v>29</v>
      </c>
      <c r="B50" s="259" t="s">
        <v>528</v>
      </c>
      <c r="C50" s="251" t="s">
        <v>98</v>
      </c>
      <c r="D50" s="952">
        <f t="shared" si="14"/>
        <v>2017</v>
      </c>
      <c r="E50" s="497">
        <v>0.50684931506849318</v>
      </c>
      <c r="F50" s="572">
        <v>0</v>
      </c>
      <c r="G50" s="572">
        <v>0</v>
      </c>
      <c r="H50" s="572">
        <f t="shared" si="9"/>
        <v>0</v>
      </c>
      <c r="I50" s="572">
        <v>0</v>
      </c>
      <c r="J50" s="572">
        <f t="shared" si="10"/>
        <v>0</v>
      </c>
      <c r="K50" s="573">
        <v>0</v>
      </c>
      <c r="L50" s="572">
        <f t="shared" si="11"/>
        <v>0</v>
      </c>
      <c r="M50" s="573">
        <f t="shared" si="12"/>
        <v>0</v>
      </c>
      <c r="N50" s="499"/>
      <c r="O50" s="262"/>
      <c r="P50" s="261"/>
      <c r="Q50" s="261"/>
      <c r="R50" s="261"/>
      <c r="S50" s="262"/>
    </row>
    <row r="51" spans="1:19">
      <c r="A51" s="493">
        <f t="shared" si="13"/>
        <v>30</v>
      </c>
      <c r="B51" s="259" t="s">
        <v>528</v>
      </c>
      <c r="C51" s="251" t="s">
        <v>86</v>
      </c>
      <c r="D51" s="952">
        <f t="shared" si="14"/>
        <v>2017</v>
      </c>
      <c r="E51" s="497">
        <v>0.42191780821917807</v>
      </c>
      <c r="F51" s="572">
        <v>0</v>
      </c>
      <c r="G51" s="572">
        <v>0</v>
      </c>
      <c r="H51" s="572">
        <f t="shared" si="9"/>
        <v>0</v>
      </c>
      <c r="I51" s="572">
        <v>0</v>
      </c>
      <c r="J51" s="572">
        <f t="shared" si="10"/>
        <v>0</v>
      </c>
      <c r="K51" s="573">
        <v>0</v>
      </c>
      <c r="L51" s="572">
        <f t="shared" si="11"/>
        <v>0</v>
      </c>
      <c r="M51" s="573">
        <f t="shared" si="12"/>
        <v>0</v>
      </c>
      <c r="N51" s="499"/>
      <c r="O51" s="262"/>
      <c r="P51" s="261"/>
      <c r="Q51" s="261"/>
      <c r="R51" s="261"/>
      <c r="S51" s="262"/>
    </row>
    <row r="52" spans="1:19">
      <c r="A52" s="493">
        <f t="shared" si="13"/>
        <v>31</v>
      </c>
      <c r="B52" s="259" t="s">
        <v>528</v>
      </c>
      <c r="C52" s="251" t="s">
        <v>85</v>
      </c>
      <c r="D52" s="952">
        <f t="shared" si="14"/>
        <v>2017</v>
      </c>
      <c r="E52" s="497">
        <v>0.33698630136986302</v>
      </c>
      <c r="F52" s="572">
        <v>0</v>
      </c>
      <c r="G52" s="572">
        <v>0</v>
      </c>
      <c r="H52" s="572">
        <f t="shared" si="9"/>
        <v>0</v>
      </c>
      <c r="I52" s="572">
        <v>0</v>
      </c>
      <c r="J52" s="572">
        <f t="shared" si="10"/>
        <v>0</v>
      </c>
      <c r="K52" s="573">
        <v>0</v>
      </c>
      <c r="L52" s="572">
        <f t="shared" si="11"/>
        <v>0</v>
      </c>
      <c r="M52" s="573">
        <f t="shared" si="12"/>
        <v>0</v>
      </c>
      <c r="N52" s="499"/>
      <c r="O52" s="262"/>
      <c r="P52" s="261"/>
      <c r="Q52" s="261"/>
      <c r="R52" s="261"/>
      <c r="S52" s="262"/>
    </row>
    <row r="53" spans="1:19">
      <c r="A53" s="493">
        <f t="shared" si="13"/>
        <v>32</v>
      </c>
      <c r="B53" s="259" t="s">
        <v>528</v>
      </c>
      <c r="C53" s="251" t="s">
        <v>84</v>
      </c>
      <c r="D53" s="952">
        <f t="shared" si="14"/>
        <v>2017</v>
      </c>
      <c r="E53" s="497">
        <v>0.25479452054794521</v>
      </c>
      <c r="F53" s="572">
        <v>0</v>
      </c>
      <c r="G53" s="572">
        <v>0</v>
      </c>
      <c r="H53" s="572">
        <f t="shared" si="9"/>
        <v>0</v>
      </c>
      <c r="I53" s="572">
        <v>0</v>
      </c>
      <c r="J53" s="572">
        <f t="shared" si="10"/>
        <v>0</v>
      </c>
      <c r="K53" s="573">
        <v>0</v>
      </c>
      <c r="L53" s="572">
        <f t="shared" si="11"/>
        <v>0</v>
      </c>
      <c r="M53" s="573">
        <f t="shared" si="12"/>
        <v>0</v>
      </c>
      <c r="N53" s="499"/>
      <c r="O53" s="262"/>
      <c r="P53" s="261"/>
      <c r="Q53" s="261"/>
      <c r="R53" s="261"/>
      <c r="S53" s="262"/>
    </row>
    <row r="54" spans="1:19">
      <c r="A54" s="493">
        <f t="shared" si="13"/>
        <v>33</v>
      </c>
      <c r="B54" s="259" t="s">
        <v>528</v>
      </c>
      <c r="C54" s="251" t="s">
        <v>90</v>
      </c>
      <c r="D54" s="952">
        <f t="shared" si="14"/>
        <v>2017</v>
      </c>
      <c r="E54" s="497">
        <v>0.16986301369863013</v>
      </c>
      <c r="F54" s="572">
        <v>0</v>
      </c>
      <c r="G54" s="572">
        <v>0</v>
      </c>
      <c r="H54" s="572">
        <f t="shared" si="9"/>
        <v>0</v>
      </c>
      <c r="I54" s="572">
        <v>0</v>
      </c>
      <c r="J54" s="572">
        <f t="shared" si="10"/>
        <v>0</v>
      </c>
      <c r="K54" s="573">
        <v>0</v>
      </c>
      <c r="L54" s="572">
        <f t="shared" si="11"/>
        <v>0</v>
      </c>
      <c r="M54" s="573">
        <f t="shared" si="12"/>
        <v>0</v>
      </c>
      <c r="N54" s="499"/>
      <c r="O54" s="262"/>
      <c r="P54" s="261"/>
      <c r="Q54" s="261"/>
      <c r="R54" s="261"/>
      <c r="S54" s="262"/>
    </row>
    <row r="55" spans="1:19">
      <c r="A55" s="493">
        <f t="shared" si="13"/>
        <v>34</v>
      </c>
      <c r="B55" s="259" t="s">
        <v>528</v>
      </c>
      <c r="C55" s="251" t="s">
        <v>83</v>
      </c>
      <c r="D55" s="952">
        <f t="shared" si="14"/>
        <v>2017</v>
      </c>
      <c r="E55" s="497">
        <v>8.7671232876712329E-2</v>
      </c>
      <c r="F55" s="572">
        <v>0</v>
      </c>
      <c r="G55" s="572">
        <v>0</v>
      </c>
      <c r="H55" s="572">
        <f t="shared" si="9"/>
        <v>0</v>
      </c>
      <c r="I55" s="572">
        <v>0</v>
      </c>
      <c r="J55" s="572">
        <f t="shared" si="10"/>
        <v>0</v>
      </c>
      <c r="K55" s="573">
        <v>0</v>
      </c>
      <c r="L55" s="572">
        <f t="shared" si="11"/>
        <v>0</v>
      </c>
      <c r="M55" s="573">
        <f t="shared" si="12"/>
        <v>0</v>
      </c>
      <c r="N55" s="499"/>
      <c r="O55" s="262"/>
      <c r="P55" s="261"/>
      <c r="Q55" s="261"/>
      <c r="R55" s="261"/>
      <c r="S55" s="262"/>
    </row>
    <row r="56" spans="1:19">
      <c r="A56" s="493">
        <f t="shared" si="13"/>
        <v>35</v>
      </c>
      <c r="B56" s="259" t="s">
        <v>528</v>
      </c>
      <c r="C56" s="259" t="str">
        <f>+C44</f>
        <v xml:space="preserve">December </v>
      </c>
      <c r="D56" s="952">
        <f t="shared" si="14"/>
        <v>2017</v>
      </c>
      <c r="E56" s="497">
        <v>2.7397260273972603E-3</v>
      </c>
      <c r="F56" s="572">
        <v>0</v>
      </c>
      <c r="G56" s="572">
        <f>G44</f>
        <v>0</v>
      </c>
      <c r="H56" s="572">
        <f t="shared" si="9"/>
        <v>0</v>
      </c>
      <c r="I56" s="572">
        <f>I44</f>
        <v>7420671.0091658449</v>
      </c>
      <c r="J56" s="572">
        <f t="shared" si="10"/>
        <v>1377096.3593072144</v>
      </c>
      <c r="K56" s="573">
        <v>28747870.385000002</v>
      </c>
      <c r="L56" s="572">
        <f t="shared" si="11"/>
        <v>3380756.9949169396</v>
      </c>
      <c r="M56" s="573">
        <f>+L56+J56+H56</f>
        <v>4757853.3542241538</v>
      </c>
      <c r="N56" s="794"/>
      <c r="O56" s="262"/>
      <c r="P56" s="261"/>
      <c r="Q56" s="261"/>
      <c r="R56" s="261"/>
      <c r="S56" s="262"/>
    </row>
    <row r="57" spans="1:19">
      <c r="A57" s="493">
        <f>+A56+1</f>
        <v>36</v>
      </c>
      <c r="B57" s="259" t="s">
        <v>529</v>
      </c>
      <c r="D57" s="952">
        <f t="shared" si="14"/>
        <v>2017</v>
      </c>
      <c r="E57" s="257" t="s">
        <v>527</v>
      </c>
      <c r="F57" s="248">
        <f>SUM(F44:F56)</f>
        <v>0</v>
      </c>
      <c r="G57" s="257"/>
      <c r="H57" s="257"/>
      <c r="I57" s="257"/>
      <c r="J57" s="258"/>
      <c r="K57" s="258"/>
      <c r="M57" s="358">
        <f>+M44/2+M56/2</f>
        <v>12075018.574896721</v>
      </c>
    </row>
    <row r="58" spans="1:19">
      <c r="B58" s="251" t="s">
        <v>534</v>
      </c>
      <c r="C58" s="251"/>
      <c r="D58" s="797"/>
      <c r="F58" s="248"/>
      <c r="G58" s="248"/>
      <c r="H58" s="248"/>
      <c r="I58" s="248"/>
      <c r="J58" s="248"/>
      <c r="K58" s="248"/>
      <c r="L58" s="248"/>
      <c r="M58" s="500"/>
    </row>
    <row r="59" spans="1:19">
      <c r="D59" s="798"/>
      <c r="E59" s="248"/>
      <c r="F59" s="260"/>
      <c r="G59" s="260"/>
      <c r="H59" s="248"/>
      <c r="I59" s="248"/>
      <c r="J59" s="248"/>
      <c r="K59" s="248"/>
    </row>
    <row r="60" spans="1:19">
      <c r="A60" s="493">
        <f>+A57+1</f>
        <v>37</v>
      </c>
      <c r="B60" s="259" t="s">
        <v>961</v>
      </c>
      <c r="D60" s="798"/>
      <c r="E60" s="248"/>
      <c r="F60" s="260"/>
      <c r="G60" s="260"/>
      <c r="H60" s="248"/>
      <c r="I60" s="248"/>
      <c r="J60" s="248"/>
      <c r="K60" s="248"/>
      <c r="M60" s="500">
        <f>+M30+M34+M57</f>
        <v>-287103961.18795496</v>
      </c>
    </row>
    <row r="63" spans="1:19">
      <c r="M63" s="242" t="s">
        <v>535</v>
      </c>
    </row>
    <row r="64" spans="1:19">
      <c r="M64" s="242" t="s">
        <v>460</v>
      </c>
    </row>
    <row r="65" spans="1:13">
      <c r="A65" s="852"/>
      <c r="B65" s="263"/>
      <c r="C65" s="263"/>
      <c r="D65" s="263"/>
      <c r="E65" s="263"/>
      <c r="F65" s="263"/>
      <c r="G65" s="263" t="str">
        <f>$G$3</f>
        <v>PECO Energy Company</v>
      </c>
      <c r="H65" s="263"/>
      <c r="I65" s="263"/>
      <c r="J65" s="263"/>
      <c r="K65" s="263"/>
      <c r="L65" s="263"/>
      <c r="M65" s="263"/>
    </row>
    <row r="66" spans="1:13">
      <c r="A66" s="1000" t="s">
        <v>536</v>
      </c>
      <c r="B66" s="1000"/>
      <c r="C66" s="1000"/>
      <c r="D66" s="1000"/>
      <c r="E66" s="1000"/>
      <c r="F66" s="1000"/>
      <c r="G66" s="1000"/>
      <c r="H66" s="1000"/>
      <c r="I66" s="1000"/>
      <c r="J66" s="1000"/>
      <c r="K66" s="1000"/>
      <c r="L66" s="1000"/>
      <c r="M66" s="1000"/>
    </row>
    <row r="67" spans="1:13">
      <c r="A67" s="847" t="s">
        <v>537</v>
      </c>
      <c r="K67" s="260"/>
      <c r="M67" s="242" t="s">
        <v>1150</v>
      </c>
    </row>
    <row r="68" spans="1:13">
      <c r="A68" s="847"/>
      <c r="K68" s="260"/>
    </row>
    <row r="69" spans="1:13">
      <c r="A69" s="847"/>
      <c r="K69" s="260"/>
    </row>
    <row r="70" spans="1:13">
      <c r="A70" s="847"/>
      <c r="B70" s="259" t="s">
        <v>209</v>
      </c>
      <c r="C70" s="259" t="s">
        <v>210</v>
      </c>
      <c r="D70" s="795" t="s">
        <v>211</v>
      </c>
      <c r="E70" s="493" t="s">
        <v>212</v>
      </c>
      <c r="F70" s="493" t="s">
        <v>214</v>
      </c>
      <c r="G70" s="493" t="s">
        <v>213</v>
      </c>
      <c r="H70" s="493" t="s">
        <v>215</v>
      </c>
      <c r="I70" s="493" t="s">
        <v>216</v>
      </c>
      <c r="J70" s="493" t="s">
        <v>217</v>
      </c>
      <c r="K70" s="493" t="s">
        <v>259</v>
      </c>
      <c r="L70" s="493" t="s">
        <v>263</v>
      </c>
      <c r="M70" s="493" t="s">
        <v>502</v>
      </c>
    </row>
    <row r="71" spans="1:13">
      <c r="A71" s="847"/>
      <c r="B71" s="493" t="s">
        <v>527</v>
      </c>
      <c r="C71" s="259" t="s">
        <v>174</v>
      </c>
      <c r="D71" s="795" t="s">
        <v>80</v>
      </c>
      <c r="E71" s="493" t="s">
        <v>504</v>
      </c>
      <c r="F71" s="493" t="s">
        <v>527</v>
      </c>
      <c r="G71" s="495">
        <v>1</v>
      </c>
      <c r="H71" s="493" t="s">
        <v>506</v>
      </c>
      <c r="I71" s="493" t="s">
        <v>507</v>
      </c>
      <c r="J71" s="493" t="s">
        <v>508</v>
      </c>
      <c r="K71" s="493" t="s">
        <v>509</v>
      </c>
      <c r="L71" s="493" t="s">
        <v>510</v>
      </c>
      <c r="M71" s="493" t="s">
        <v>238</v>
      </c>
    </row>
    <row r="72" spans="1:13">
      <c r="A72" s="847"/>
      <c r="B72" s="493"/>
      <c r="E72" s="493" t="s">
        <v>512</v>
      </c>
      <c r="F72" s="493" t="s">
        <v>538</v>
      </c>
      <c r="G72" s="493" t="s">
        <v>17</v>
      </c>
      <c r="H72" s="495" t="s">
        <v>514</v>
      </c>
      <c r="I72" s="493" t="s">
        <v>515</v>
      </c>
      <c r="J72" s="495" t="s">
        <v>516</v>
      </c>
      <c r="K72" s="493" t="s">
        <v>517</v>
      </c>
      <c r="L72" s="495" t="s">
        <v>518</v>
      </c>
      <c r="M72" s="493" t="s">
        <v>519</v>
      </c>
    </row>
    <row r="73" spans="1:13">
      <c r="A73" s="847"/>
      <c r="B73" s="493"/>
      <c r="E73" s="493"/>
      <c r="F73" s="493" t="s">
        <v>539</v>
      </c>
      <c r="G73" s="493"/>
      <c r="H73" s="244">
        <v>1</v>
      </c>
      <c r="I73" s="493"/>
      <c r="J73" s="359">
        <f>+J12</f>
        <v>0.18557571917772073</v>
      </c>
      <c r="K73" s="496"/>
      <c r="L73" s="359">
        <f>+L12</f>
        <v>0.1176002587197187</v>
      </c>
      <c r="M73" s="493" t="s">
        <v>521</v>
      </c>
    </row>
    <row r="74" spans="1:13">
      <c r="A74" s="847"/>
      <c r="B74" s="493"/>
      <c r="E74" s="493"/>
      <c r="F74" s="493" t="s">
        <v>540</v>
      </c>
      <c r="G74" s="493"/>
      <c r="H74" s="245"/>
      <c r="I74" s="493"/>
      <c r="J74" s="493" t="s">
        <v>523</v>
      </c>
      <c r="K74" s="493"/>
      <c r="L74" s="493" t="s">
        <v>523</v>
      </c>
      <c r="M74" s="493"/>
    </row>
    <row r="75" spans="1:13">
      <c r="B75" s="251"/>
      <c r="C75" s="247" t="s">
        <v>524</v>
      </c>
      <c r="E75" s="493"/>
      <c r="F75" s="493"/>
      <c r="G75" s="493"/>
      <c r="H75" s="493"/>
      <c r="I75" s="493"/>
      <c r="J75" s="493" t="s">
        <v>525</v>
      </c>
      <c r="K75" s="493"/>
      <c r="L75" s="493" t="s">
        <v>526</v>
      </c>
      <c r="M75" s="493"/>
    </row>
    <row r="76" spans="1:13">
      <c r="A76" s="493">
        <f>+A60+1</f>
        <v>38</v>
      </c>
      <c r="B76" s="251" t="s">
        <v>527</v>
      </c>
      <c r="C76" s="251" t="s">
        <v>207</v>
      </c>
      <c r="D76" s="959">
        <v>2016</v>
      </c>
      <c r="F76" s="248">
        <f>'4B - ADIT BOY'!C99</f>
        <v>-1156481650</v>
      </c>
      <c r="G76" s="248">
        <f>'4B - ADIT BOY'!E99</f>
        <v>-247557156</v>
      </c>
      <c r="H76" s="248"/>
      <c r="I76" s="248">
        <f>'4B - ADIT BOY'!F99</f>
        <v>0</v>
      </c>
      <c r="J76" s="248">
        <f>+J73*I76</f>
        <v>0</v>
      </c>
      <c r="K76" s="248">
        <f>'4B - ADIT BOY'!G99</f>
        <v>-24520024</v>
      </c>
      <c r="L76" s="248"/>
      <c r="M76" s="248"/>
    </row>
    <row r="77" spans="1:13">
      <c r="A77" s="493">
        <f>+A76+1</f>
        <v>39</v>
      </c>
      <c r="B77" s="251" t="s">
        <v>527</v>
      </c>
      <c r="C77" s="251" t="str">
        <f>+C76</f>
        <v xml:space="preserve">December </v>
      </c>
      <c r="D77" s="959">
        <v>2017</v>
      </c>
      <c r="F77" s="248">
        <f>'4C - ADIT EOY'!C100</f>
        <v>-1217638235</v>
      </c>
      <c r="G77" s="248">
        <f>'4C - ADIT EOY'!E100</f>
        <v>-266240038</v>
      </c>
      <c r="H77" s="248"/>
      <c r="I77" s="248">
        <f>'4C - ADIT EOY'!F100</f>
        <v>0</v>
      </c>
      <c r="J77" s="248">
        <f>+I77*J73</f>
        <v>0</v>
      </c>
      <c r="K77" s="248">
        <f>'4C - ADIT EOY'!G100</f>
        <v>-33359806</v>
      </c>
      <c r="L77" s="248"/>
      <c r="M77" s="358"/>
    </row>
    <row r="78" spans="1:13">
      <c r="A78" s="493">
        <f>+A77+1</f>
        <v>40</v>
      </c>
      <c r="B78" s="251"/>
      <c r="C78" s="251" t="s">
        <v>531</v>
      </c>
      <c r="D78" s="797"/>
      <c r="F78" s="248">
        <f>+F76/2+F77/2</f>
        <v>-1187059942.5</v>
      </c>
      <c r="G78" s="248">
        <f>+G76/2+G77/2</f>
        <v>-256898597</v>
      </c>
      <c r="H78" s="248">
        <f>+H$12*G78</f>
        <v>-256898597</v>
      </c>
      <c r="I78" s="248">
        <f>+I76/2+I77/2</f>
        <v>0</v>
      </c>
      <c r="J78" s="248">
        <f>+I78*J$12</f>
        <v>0</v>
      </c>
      <c r="K78" s="248">
        <f>+K76/2+K77/2</f>
        <v>-28939915</v>
      </c>
      <c r="L78" s="248">
        <f>+L73*K78</f>
        <v>-3403341.4913266678</v>
      </c>
      <c r="M78" s="358">
        <f>+L78+J78+H78</f>
        <v>-260301938.49132666</v>
      </c>
    </row>
    <row r="79" spans="1:13">
      <c r="D79" s="797"/>
    </row>
    <row r="80" spans="1:13">
      <c r="D80" s="797"/>
    </row>
    <row r="81" spans="1:14">
      <c r="B81" s="251"/>
      <c r="C81" s="247" t="s">
        <v>530</v>
      </c>
      <c r="D81" s="797"/>
    </row>
    <row r="82" spans="1:14">
      <c r="A82" s="493">
        <f>+A78+1</f>
        <v>41</v>
      </c>
      <c r="B82" s="251" t="s">
        <v>527</v>
      </c>
      <c r="C82" s="251" t="s">
        <v>207</v>
      </c>
      <c r="D82" s="959">
        <v>2016</v>
      </c>
      <c r="F82" s="248">
        <f>'4B - ADIT BOY'!C151</f>
        <v>-40972532</v>
      </c>
      <c r="G82" s="248">
        <f>'4B - ADIT BOY'!E151</f>
        <v>0</v>
      </c>
      <c r="H82" s="248">
        <f>+G82*H73</f>
        <v>0</v>
      </c>
      <c r="I82" s="248">
        <f>'4B - ADIT BOY'!F151</f>
        <v>-9584442</v>
      </c>
      <c r="J82" s="248">
        <f>+I82*J73</f>
        <v>-1778639.717067152</v>
      </c>
      <c r="K82" s="248">
        <f>'4B - ADIT BOY'!G151</f>
        <v>-2701892</v>
      </c>
      <c r="L82" s="248">
        <f>+K82*L73</f>
        <v>-317743.19823273818</v>
      </c>
      <c r="M82" s="500"/>
    </row>
    <row r="83" spans="1:14">
      <c r="A83" s="493">
        <f>+A82+1</f>
        <v>42</v>
      </c>
      <c r="B83" s="251" t="s">
        <v>527</v>
      </c>
      <c r="C83" s="251" t="str">
        <f>+C82</f>
        <v xml:space="preserve">December </v>
      </c>
      <c r="D83" s="959">
        <v>2017</v>
      </c>
      <c r="F83" s="248">
        <f>'4C - ADIT EOY'!C154</f>
        <v>-139744365.19238198</v>
      </c>
      <c r="G83" s="248">
        <f>'4C - ADIT EOY'!E154</f>
        <v>0</v>
      </c>
      <c r="H83" s="248">
        <f>+G83*H73</f>
        <v>0</v>
      </c>
      <c r="I83" s="248">
        <f>'4C - ADIT EOY'!F154</f>
        <v>-6327127.6591433417</v>
      </c>
      <c r="J83" s="248">
        <f>+I83*J73</f>
        <v>-1174161.2656747743</v>
      </c>
      <c r="K83" s="248">
        <f>'4C - ADIT EOY'!G154</f>
        <v>-108024769.61478905</v>
      </c>
      <c r="L83" s="248">
        <f>+K83*L73</f>
        <v>-12703740.8548372</v>
      </c>
      <c r="M83" s="500"/>
    </row>
    <row r="84" spans="1:14">
      <c r="A84" s="493">
        <f>+A83+1</f>
        <v>43</v>
      </c>
      <c r="B84" s="251"/>
      <c r="C84" s="251" t="s">
        <v>531</v>
      </c>
      <c r="D84" s="797"/>
      <c r="F84" s="248">
        <f t="shared" ref="F84:L84" si="15">+F82/2+F83/2</f>
        <v>-90358448.596190989</v>
      </c>
      <c r="G84" s="248">
        <f t="shared" si="15"/>
        <v>0</v>
      </c>
      <c r="H84" s="248">
        <f t="shared" si="15"/>
        <v>0</v>
      </c>
      <c r="I84" s="248">
        <f t="shared" si="15"/>
        <v>-7955784.8295716709</v>
      </c>
      <c r="J84" s="248">
        <f t="shared" si="15"/>
        <v>-1476400.4913709632</v>
      </c>
      <c r="K84" s="248">
        <f t="shared" si="15"/>
        <v>-55363330.807394527</v>
      </c>
      <c r="L84" s="248">
        <f t="shared" si="15"/>
        <v>-6510742.026534969</v>
      </c>
      <c r="M84" s="500">
        <f>+L84+J84+H84</f>
        <v>-7987142.5179059319</v>
      </c>
      <c r="N84" s="258"/>
    </row>
    <row r="85" spans="1:14">
      <c r="D85" s="797"/>
      <c r="N85" s="258"/>
    </row>
    <row r="86" spans="1:14">
      <c r="D86" s="797"/>
      <c r="N86" s="258"/>
    </row>
    <row r="87" spans="1:14">
      <c r="C87" s="494" t="s">
        <v>532</v>
      </c>
      <c r="D87" s="797"/>
    </row>
    <row r="88" spans="1:14">
      <c r="A88" s="493">
        <f>+A84+1</f>
        <v>44</v>
      </c>
      <c r="B88" s="259" t="s">
        <v>527</v>
      </c>
      <c r="C88" s="259" t="s">
        <v>207</v>
      </c>
      <c r="D88" s="959">
        <v>2016</v>
      </c>
      <c r="F88" s="248" t="s">
        <v>749</v>
      </c>
      <c r="G88" s="248" t="s">
        <v>749</v>
      </c>
      <c r="H88" s="248" t="s">
        <v>749</v>
      </c>
      <c r="I88" s="248" t="s">
        <v>749</v>
      </c>
      <c r="J88" s="248" t="s">
        <v>749</v>
      </c>
      <c r="K88" s="248" t="s">
        <v>749</v>
      </c>
      <c r="L88" s="248" t="s">
        <v>749</v>
      </c>
      <c r="M88" s="248" t="s">
        <v>749</v>
      </c>
    </row>
    <row r="89" spans="1:14">
      <c r="A89" s="493">
        <f>+A88+1</f>
        <v>45</v>
      </c>
      <c r="B89" s="259" t="s">
        <v>527</v>
      </c>
      <c r="C89" s="259" t="s">
        <v>207</v>
      </c>
      <c r="D89" s="959">
        <v>2017</v>
      </c>
      <c r="F89" s="248" t="s">
        <v>749</v>
      </c>
      <c r="G89" s="248" t="s">
        <v>749</v>
      </c>
      <c r="H89" s="248" t="s">
        <v>749</v>
      </c>
      <c r="I89" s="248" t="s">
        <v>749</v>
      </c>
      <c r="J89" s="248" t="s">
        <v>749</v>
      </c>
      <c r="K89" s="248" t="s">
        <v>749</v>
      </c>
      <c r="L89" s="248" t="s">
        <v>749</v>
      </c>
      <c r="M89" s="248" t="s">
        <v>749</v>
      </c>
    </row>
    <row r="90" spans="1:14">
      <c r="A90" s="493">
        <f>+A89+1</f>
        <v>46</v>
      </c>
      <c r="C90" s="259" t="s">
        <v>531</v>
      </c>
      <c r="D90" s="797"/>
      <c r="F90" s="248" t="s">
        <v>749</v>
      </c>
      <c r="G90" s="248" t="s">
        <v>749</v>
      </c>
      <c r="H90" s="248" t="s">
        <v>749</v>
      </c>
      <c r="I90" s="248" t="s">
        <v>749</v>
      </c>
      <c r="J90" s="248" t="s">
        <v>749</v>
      </c>
      <c r="K90" s="248" t="s">
        <v>749</v>
      </c>
      <c r="L90" s="248" t="s">
        <v>749</v>
      </c>
      <c r="M90" s="248" t="s">
        <v>749</v>
      </c>
    </row>
    <row r="91" spans="1:14">
      <c r="D91" s="797"/>
    </row>
    <row r="92" spans="1:14">
      <c r="D92" s="797"/>
    </row>
    <row r="93" spans="1:14">
      <c r="C93" s="494" t="s">
        <v>533</v>
      </c>
      <c r="D93" s="797"/>
    </row>
    <row r="94" spans="1:14">
      <c r="A94" s="493">
        <f>+A90+1</f>
        <v>47</v>
      </c>
      <c r="B94" s="259" t="s">
        <v>527</v>
      </c>
      <c r="C94" s="259" t="s">
        <v>207</v>
      </c>
      <c r="D94" s="959">
        <v>2016</v>
      </c>
      <c r="F94" s="248">
        <f>'4B - ADIT BOY'!C64</f>
        <v>83060062</v>
      </c>
      <c r="G94" s="248">
        <f>'4B - ADIT BOY'!E64</f>
        <v>1763437</v>
      </c>
      <c r="H94" s="248">
        <f>+G94</f>
        <v>1763437</v>
      </c>
      <c r="I94" s="248">
        <f>'4B - ADIT BOY'!F64</f>
        <v>370525</v>
      </c>
      <c r="J94" s="248">
        <f>+I94*J73</f>
        <v>68760.443348324974</v>
      </c>
      <c r="K94" s="248">
        <f>'4B - ADIT BOY'!G64</f>
        <v>26695124</v>
      </c>
      <c r="L94" s="248">
        <f>+K94*L73</f>
        <v>3139353.488954972</v>
      </c>
      <c r="M94" s="500">
        <f>+L94+J94+H94</f>
        <v>4971550.9323032964</v>
      </c>
    </row>
    <row r="95" spans="1:14">
      <c r="A95" s="493">
        <f>+A94+1</f>
        <v>48</v>
      </c>
      <c r="B95" s="259" t="s">
        <v>527</v>
      </c>
      <c r="C95" s="259" t="s">
        <v>207</v>
      </c>
      <c r="D95" s="959">
        <v>2017</v>
      </c>
      <c r="F95" s="248">
        <f>'4C - ADIT EOY'!C65</f>
        <v>185826860.22189999</v>
      </c>
      <c r="G95" s="248">
        <f>'4C - ADIT EOY'!E65</f>
        <v>0</v>
      </c>
      <c r="H95" s="248">
        <f>+G95</f>
        <v>0</v>
      </c>
      <c r="I95" s="248">
        <f>'4C - ADIT EOY'!F65</f>
        <v>7420671.0091658449</v>
      </c>
      <c r="J95" s="248">
        <f>+I95*J73</f>
        <v>1377096.3593072144</v>
      </c>
      <c r="K95" s="248">
        <f>'4C - ADIT EOY'!G65</f>
        <v>153189182</v>
      </c>
      <c r="L95" s="248">
        <f>+K95*L73</f>
        <v>18015087.436262075</v>
      </c>
      <c r="M95" s="500">
        <f>+L95+J95+H95</f>
        <v>19392183.795569289</v>
      </c>
    </row>
    <row r="96" spans="1:14">
      <c r="A96" s="493">
        <f>+A95+1</f>
        <v>49</v>
      </c>
      <c r="C96" s="259" t="s">
        <v>531</v>
      </c>
      <c r="F96" s="248">
        <f t="shared" ref="F96:M96" si="16">+F94/2+F95/2</f>
        <v>134443461.11094999</v>
      </c>
      <c r="G96" s="248">
        <f t="shared" si="16"/>
        <v>881718.5</v>
      </c>
      <c r="H96" s="248">
        <f t="shared" si="16"/>
        <v>881718.5</v>
      </c>
      <c r="I96" s="248">
        <f t="shared" si="16"/>
        <v>3895598.0045829224</v>
      </c>
      <c r="J96" s="248">
        <f t="shared" si="16"/>
        <v>722928.40132776974</v>
      </c>
      <c r="K96" s="248">
        <f t="shared" si="16"/>
        <v>89942153</v>
      </c>
      <c r="L96" s="248">
        <f t="shared" si="16"/>
        <v>10577220.462608524</v>
      </c>
      <c r="M96" s="248">
        <f t="shared" si="16"/>
        <v>12181867.363936294</v>
      </c>
    </row>
    <row r="97" spans="10:13">
      <c r="J97" s="248"/>
      <c r="M97" s="500"/>
    </row>
    <row r="98" spans="10:13">
      <c r="L98" s="358"/>
      <c r="M98" s="358"/>
    </row>
    <row r="99" spans="10:13">
      <c r="L99" s="358"/>
      <c r="M99" s="358"/>
    </row>
    <row r="100" spans="10:13">
      <c r="L100" s="358"/>
    </row>
  </sheetData>
  <mergeCells count="1">
    <mergeCell ref="A66:M66"/>
  </mergeCells>
  <pageMargins left="0.7" right="0.7" top="0.75" bottom="0.75" header="0.3" footer="0.3"/>
  <pageSetup scale="50" fitToHeight="3" orientation="landscape"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2"/>
  <sheetViews>
    <sheetView view="pageBreakPreview" topLeftCell="A128" zoomScale="50" zoomScaleNormal="80" zoomScaleSheetLayoutView="50" workbookViewId="0">
      <selection activeCell="C149" sqref="C149:D149"/>
    </sheetView>
  </sheetViews>
  <sheetFormatPr defaultColWidth="8.88671875" defaultRowHeight="15"/>
  <cols>
    <col min="1" max="1" width="5.44140625" style="264" customWidth="1"/>
    <col min="2" max="2" width="43.6640625" style="275" customWidth="1"/>
    <col min="3" max="7" width="14.109375" style="275" customWidth="1"/>
    <col min="8" max="8" width="89.77734375" style="275" customWidth="1"/>
    <col min="9" max="9" width="8.88671875" style="490"/>
    <col min="10" max="10" width="9.5546875" style="490" customWidth="1"/>
    <col min="11" max="16384" width="8.88671875" style="490"/>
  </cols>
  <sheetData>
    <row r="1" spans="1:9">
      <c r="B1" s="1001" t="s">
        <v>1064</v>
      </c>
      <c r="C1" s="1002"/>
      <c r="D1" s="1002"/>
      <c r="E1" s="1002"/>
      <c r="F1" s="1002"/>
      <c r="G1" s="1002"/>
      <c r="H1" s="1002"/>
      <c r="I1" s="243"/>
    </row>
    <row r="2" spans="1:9">
      <c r="B2" s="1003" t="str">
        <f>'4A - ADIT Summary'!$G$65</f>
        <v>PECO Energy Company</v>
      </c>
      <c r="C2" s="1004"/>
      <c r="D2" s="1004"/>
      <c r="E2" s="1004"/>
      <c r="F2" s="1004"/>
      <c r="G2" s="1004"/>
      <c r="H2" s="1004"/>
      <c r="I2" s="243"/>
    </row>
    <row r="3" spans="1:9">
      <c r="B3" s="325" t="s">
        <v>541</v>
      </c>
      <c r="C3" s="267"/>
      <c r="E3" s="490"/>
      <c r="F3" s="265"/>
      <c r="G3" s="269"/>
      <c r="H3" s="501"/>
      <c r="I3" s="243"/>
    </row>
    <row r="4" spans="1:9">
      <c r="B4" s="325"/>
      <c r="C4" s="267"/>
      <c r="E4" s="265"/>
      <c r="F4" s="265"/>
      <c r="G4" s="269"/>
      <c r="H4" s="266" t="s">
        <v>541</v>
      </c>
      <c r="I4" s="243"/>
    </row>
    <row r="5" spans="1:9">
      <c r="B5" s="502" t="s">
        <v>63</v>
      </c>
      <c r="C5" s="503" t="s">
        <v>64</v>
      </c>
      <c r="D5" s="503" t="s">
        <v>65</v>
      </c>
      <c r="E5" s="503" t="s">
        <v>66</v>
      </c>
      <c r="F5" s="503" t="s">
        <v>67</v>
      </c>
      <c r="G5" s="503" t="s">
        <v>68</v>
      </c>
      <c r="H5" s="266" t="s">
        <v>542</v>
      </c>
      <c r="I5" s="243"/>
    </row>
    <row r="6" spans="1:9">
      <c r="B6" s="267"/>
      <c r="C6" s="490"/>
      <c r="D6" s="490"/>
      <c r="E6" s="265" t="s">
        <v>543</v>
      </c>
      <c r="F6" s="490"/>
      <c r="G6" s="490"/>
      <c r="H6" s="490"/>
      <c r="I6" s="243"/>
    </row>
    <row r="7" spans="1:9">
      <c r="B7" s="267"/>
      <c r="C7" s="504" t="s">
        <v>13</v>
      </c>
      <c r="E7" s="265" t="s">
        <v>517</v>
      </c>
      <c r="F7" s="265" t="s">
        <v>517</v>
      </c>
      <c r="G7" s="265" t="s">
        <v>517</v>
      </c>
      <c r="H7" s="267"/>
      <c r="I7" s="243"/>
    </row>
    <row r="8" spans="1:9">
      <c r="B8" s="267"/>
      <c r="C8" s="267"/>
      <c r="E8" s="269"/>
      <c r="F8" s="269"/>
      <c r="G8" s="269"/>
      <c r="H8" s="266"/>
      <c r="I8" s="243"/>
    </row>
    <row r="9" spans="1:9">
      <c r="A9" s="264" t="s">
        <v>544</v>
      </c>
      <c r="B9" s="268" t="s">
        <v>524</v>
      </c>
      <c r="C9" s="269">
        <f>+C99</f>
        <v>-1156481650</v>
      </c>
      <c r="E9" s="269">
        <f>E99</f>
        <v>-247557156</v>
      </c>
      <c r="F9" s="269">
        <f>F99</f>
        <v>0</v>
      </c>
      <c r="G9" s="269">
        <f>G99</f>
        <v>-24520024</v>
      </c>
      <c r="H9" s="269" t="s">
        <v>545</v>
      </c>
      <c r="I9" s="243"/>
    </row>
    <row r="10" spans="1:9">
      <c r="A10" s="264" t="s">
        <v>546</v>
      </c>
      <c r="B10" s="268" t="s">
        <v>530</v>
      </c>
      <c r="C10" s="269">
        <f>+C151</f>
        <v>-40972532</v>
      </c>
      <c r="E10" s="269">
        <f>E151</f>
        <v>0</v>
      </c>
      <c r="F10" s="269">
        <f>F151</f>
        <v>-9584442</v>
      </c>
      <c r="G10" s="269">
        <f>G151</f>
        <v>-2701892</v>
      </c>
      <c r="H10" s="269" t="s">
        <v>547</v>
      </c>
      <c r="I10" s="243"/>
    </row>
    <row r="11" spans="1:9">
      <c r="A11" s="264" t="s">
        <v>548</v>
      </c>
      <c r="B11" s="268" t="s">
        <v>533</v>
      </c>
      <c r="C11" s="269">
        <f>+C64</f>
        <v>83060062</v>
      </c>
      <c r="E11" s="269">
        <f>E64</f>
        <v>1763437</v>
      </c>
      <c r="F11" s="269">
        <f>F64</f>
        <v>370525</v>
      </c>
      <c r="G11" s="269">
        <f>G64</f>
        <v>26695124</v>
      </c>
      <c r="H11" s="269" t="s">
        <v>549</v>
      </c>
      <c r="I11" s="243"/>
    </row>
    <row r="12" spans="1:9">
      <c r="A12" s="264" t="s">
        <v>550</v>
      </c>
      <c r="B12" s="268" t="s">
        <v>551</v>
      </c>
      <c r="C12" s="269">
        <f>SUM(C9:C11)</f>
        <v>-1114394120</v>
      </c>
      <c r="E12" s="269">
        <f>SUM(E9:E11)</f>
        <v>-245793719</v>
      </c>
      <c r="F12" s="269">
        <f>SUM(F9:F11)</f>
        <v>-9213917</v>
      </c>
      <c r="G12" s="269">
        <f>SUM(G9:G11)</f>
        <v>-526792</v>
      </c>
      <c r="H12" s="269" t="s">
        <v>552</v>
      </c>
      <c r="I12" s="243"/>
    </row>
    <row r="13" spans="1:9">
      <c r="B13" s="268"/>
      <c r="C13" s="267"/>
      <c r="D13" s="269"/>
      <c r="E13" s="269"/>
      <c r="F13" s="270"/>
      <c r="G13" s="269"/>
      <c r="H13" s="271"/>
      <c r="I13" s="243"/>
    </row>
    <row r="14" spans="1:9">
      <c r="B14" s="272" t="s">
        <v>553</v>
      </c>
      <c r="C14" s="273"/>
      <c r="D14" s="274"/>
      <c r="E14" s="274"/>
      <c r="F14" s="274"/>
      <c r="G14" s="274"/>
    </row>
    <row r="15" spans="1:9">
      <c r="B15" s="272" t="s">
        <v>554</v>
      </c>
      <c r="C15" s="273"/>
      <c r="D15" s="274"/>
      <c r="E15" s="274"/>
      <c r="F15" s="274"/>
      <c r="G15" s="274"/>
    </row>
    <row r="16" spans="1:9">
      <c r="B16" s="502" t="s">
        <v>63</v>
      </c>
      <c r="C16" s="503" t="s">
        <v>64</v>
      </c>
      <c r="D16" s="503" t="s">
        <v>65</v>
      </c>
      <c r="E16" s="503" t="s">
        <v>66</v>
      </c>
      <c r="F16" s="503" t="s">
        <v>67</v>
      </c>
      <c r="G16" s="503" t="s">
        <v>68</v>
      </c>
      <c r="H16" s="502" t="s">
        <v>69</v>
      </c>
    </row>
    <row r="17" spans="1:8">
      <c r="A17" s="264" t="s">
        <v>8</v>
      </c>
      <c r="B17" s="505" t="s">
        <v>533</v>
      </c>
      <c r="C17" s="276" t="s">
        <v>13</v>
      </c>
      <c r="D17" s="276" t="s">
        <v>555</v>
      </c>
      <c r="E17" s="276" t="s">
        <v>543</v>
      </c>
      <c r="F17" s="276"/>
      <c r="G17" s="276"/>
    </row>
    <row r="18" spans="1:8">
      <c r="C18" s="276"/>
      <c r="D18" s="276" t="s">
        <v>556</v>
      </c>
      <c r="E18" s="276" t="s">
        <v>17</v>
      </c>
      <c r="F18" s="276" t="s">
        <v>557</v>
      </c>
      <c r="G18" s="276" t="s">
        <v>509</v>
      </c>
    </row>
    <row r="19" spans="1:8">
      <c r="C19" s="276"/>
      <c r="D19" s="276" t="s">
        <v>517</v>
      </c>
      <c r="E19" s="276" t="s">
        <v>517</v>
      </c>
      <c r="F19" s="276" t="s">
        <v>517</v>
      </c>
      <c r="G19" s="276" t="s">
        <v>517</v>
      </c>
      <c r="H19" s="277" t="s">
        <v>558</v>
      </c>
    </row>
    <row r="20" spans="1:8">
      <c r="B20" s="506"/>
      <c r="C20" s="507"/>
      <c r="D20" s="274"/>
      <c r="E20" s="274"/>
      <c r="F20" s="274"/>
      <c r="G20" s="274"/>
    </row>
    <row r="21" spans="1:8" ht="60">
      <c r="A21" s="264">
        <v>1</v>
      </c>
      <c r="B21" s="960" t="s">
        <v>1210</v>
      </c>
      <c r="C21" s="575">
        <v>2523784</v>
      </c>
      <c r="D21" s="575">
        <v>0</v>
      </c>
      <c r="E21" s="575">
        <v>0</v>
      </c>
      <c r="F21" s="575">
        <v>0</v>
      </c>
      <c r="G21" s="575">
        <v>2523784</v>
      </c>
      <c r="H21" s="577" t="s">
        <v>1243</v>
      </c>
    </row>
    <row r="22" spans="1:8">
      <c r="A22" s="264" t="s">
        <v>559</v>
      </c>
      <c r="B22" s="960" t="s">
        <v>1211</v>
      </c>
      <c r="C22" s="575">
        <v>2851343</v>
      </c>
      <c r="D22" s="575">
        <v>0</v>
      </c>
      <c r="E22" s="575">
        <v>0</v>
      </c>
      <c r="F22" s="575">
        <v>0</v>
      </c>
      <c r="G22" s="578">
        <v>2851343</v>
      </c>
      <c r="H22" s="966" t="s">
        <v>1244</v>
      </c>
    </row>
    <row r="23" spans="1:8">
      <c r="A23" s="264" t="s">
        <v>560</v>
      </c>
      <c r="B23" s="960" t="s">
        <v>1212</v>
      </c>
      <c r="C23" s="575">
        <v>1304790</v>
      </c>
      <c r="D23" s="575">
        <v>0</v>
      </c>
      <c r="E23" s="575">
        <v>0</v>
      </c>
      <c r="F23" s="585">
        <v>0</v>
      </c>
      <c r="G23" s="575">
        <v>1304790</v>
      </c>
      <c r="H23" s="577" t="s">
        <v>1245</v>
      </c>
    </row>
    <row r="24" spans="1:8">
      <c r="A24" s="264" t="s">
        <v>561</v>
      </c>
      <c r="B24" s="960" t="s">
        <v>1213</v>
      </c>
      <c r="C24" s="575">
        <v>3558</v>
      </c>
      <c r="D24" s="575">
        <v>3558</v>
      </c>
      <c r="E24" s="575">
        <v>0</v>
      </c>
      <c r="F24" s="575">
        <v>0</v>
      </c>
      <c r="G24" s="575">
        <v>0</v>
      </c>
      <c r="H24" s="577" t="s">
        <v>1246</v>
      </c>
    </row>
    <row r="25" spans="1:8" ht="30">
      <c r="A25" s="278" t="s">
        <v>562</v>
      </c>
      <c r="B25" s="960" t="s">
        <v>1214</v>
      </c>
      <c r="C25" s="575">
        <v>18150879</v>
      </c>
      <c r="D25" s="575">
        <v>18150879</v>
      </c>
      <c r="E25" s="575">
        <v>0</v>
      </c>
      <c r="F25" s="575">
        <v>0</v>
      </c>
      <c r="G25" s="575">
        <v>0</v>
      </c>
      <c r="H25" s="577" t="s">
        <v>1247</v>
      </c>
    </row>
    <row r="26" spans="1:8">
      <c r="A26" s="278" t="s">
        <v>563</v>
      </c>
      <c r="B26" s="960" t="s">
        <v>1215</v>
      </c>
      <c r="C26" s="575">
        <v>2900278</v>
      </c>
      <c r="D26" s="575">
        <v>2900278</v>
      </c>
      <c r="E26" s="575">
        <v>0</v>
      </c>
      <c r="F26" s="575">
        <v>0</v>
      </c>
      <c r="G26" s="575">
        <v>0</v>
      </c>
      <c r="H26" s="577" t="s">
        <v>1246</v>
      </c>
    </row>
    <row r="27" spans="1:8">
      <c r="A27" s="278" t="s">
        <v>564</v>
      </c>
      <c r="B27" s="960" t="s">
        <v>1216</v>
      </c>
      <c r="C27" s="575">
        <v>318231</v>
      </c>
      <c r="D27" s="575">
        <v>318231</v>
      </c>
      <c r="E27" s="575">
        <v>0</v>
      </c>
      <c r="F27" s="585">
        <v>0</v>
      </c>
      <c r="G27" s="575">
        <v>0</v>
      </c>
      <c r="H27" s="577" t="s">
        <v>1246</v>
      </c>
    </row>
    <row r="28" spans="1:8" ht="30">
      <c r="A28" s="278" t="s">
        <v>565</v>
      </c>
      <c r="B28" s="960" t="s">
        <v>1217</v>
      </c>
      <c r="C28" s="575">
        <v>4500812</v>
      </c>
      <c r="D28" s="575">
        <v>0</v>
      </c>
      <c r="E28" s="575">
        <v>0</v>
      </c>
      <c r="F28" s="575">
        <v>0</v>
      </c>
      <c r="G28" s="575">
        <v>4500812</v>
      </c>
      <c r="H28" s="577" t="s">
        <v>1248</v>
      </c>
    </row>
    <row r="29" spans="1:8">
      <c r="A29" s="278" t="s">
        <v>566</v>
      </c>
      <c r="B29" s="960" t="s">
        <v>1218</v>
      </c>
      <c r="C29" s="575">
        <v>2477917</v>
      </c>
      <c r="D29" s="575">
        <v>2477917</v>
      </c>
      <c r="E29" s="586">
        <v>0</v>
      </c>
      <c r="F29" s="585">
        <v>0</v>
      </c>
      <c r="G29" s="586">
        <v>0</v>
      </c>
      <c r="H29" s="577" t="s">
        <v>1246</v>
      </c>
    </row>
    <row r="30" spans="1:8">
      <c r="A30" s="278" t="s">
        <v>567</v>
      </c>
      <c r="B30" s="960" t="s">
        <v>1219</v>
      </c>
      <c r="C30" s="575">
        <v>298985</v>
      </c>
      <c r="D30" s="575">
        <v>0</v>
      </c>
      <c r="E30" s="575">
        <v>0</v>
      </c>
      <c r="F30" s="575">
        <v>0</v>
      </c>
      <c r="G30" s="575">
        <v>298985</v>
      </c>
      <c r="H30" s="577" t="s">
        <v>1249</v>
      </c>
    </row>
    <row r="31" spans="1:8" ht="30">
      <c r="A31" s="278" t="s">
        <v>568</v>
      </c>
      <c r="B31" s="960" t="s">
        <v>1220</v>
      </c>
      <c r="C31" s="575">
        <v>876157</v>
      </c>
      <c r="D31" s="575">
        <v>876157</v>
      </c>
      <c r="E31" s="586">
        <v>0</v>
      </c>
      <c r="F31" s="586">
        <v>0</v>
      </c>
      <c r="G31" s="575">
        <v>0</v>
      </c>
      <c r="H31" s="579" t="s">
        <v>1250</v>
      </c>
    </row>
    <row r="32" spans="1:8">
      <c r="A32" s="278" t="s">
        <v>569</v>
      </c>
      <c r="B32" s="960" t="s">
        <v>1221</v>
      </c>
      <c r="C32" s="575">
        <v>31256623</v>
      </c>
      <c r="D32" s="575">
        <v>31256623</v>
      </c>
      <c r="E32" s="587">
        <v>0</v>
      </c>
      <c r="F32" s="587">
        <v>0</v>
      </c>
      <c r="G32" s="575">
        <v>0</v>
      </c>
      <c r="H32" s="579" t="s">
        <v>1246</v>
      </c>
    </row>
    <row r="33" spans="1:8" ht="30">
      <c r="A33" s="278" t="s">
        <v>570</v>
      </c>
      <c r="B33" s="960" t="s">
        <v>1222</v>
      </c>
      <c r="C33" s="575">
        <v>13750207</v>
      </c>
      <c r="D33" s="575">
        <v>0</v>
      </c>
      <c r="E33" s="575">
        <v>0</v>
      </c>
      <c r="F33" s="575">
        <v>0</v>
      </c>
      <c r="G33" s="575">
        <v>13750207</v>
      </c>
      <c r="H33" s="577" t="s">
        <v>1251</v>
      </c>
    </row>
    <row r="34" spans="1:8" ht="30">
      <c r="A34" s="278" t="s">
        <v>571</v>
      </c>
      <c r="B34" s="960" t="s">
        <v>1223</v>
      </c>
      <c r="C34" s="575">
        <v>8185168</v>
      </c>
      <c r="D34" s="575">
        <v>0</v>
      </c>
      <c r="E34" s="575">
        <v>0</v>
      </c>
      <c r="F34" s="575">
        <v>0</v>
      </c>
      <c r="G34" s="575">
        <v>8185168</v>
      </c>
      <c r="H34" s="577" t="s">
        <v>1252</v>
      </c>
    </row>
    <row r="35" spans="1:8">
      <c r="A35" s="278" t="s">
        <v>572</v>
      </c>
      <c r="B35" s="960" t="s">
        <v>1224</v>
      </c>
      <c r="C35" s="575">
        <v>13056046</v>
      </c>
      <c r="D35" s="575">
        <v>13056046</v>
      </c>
      <c r="E35" s="575">
        <v>0</v>
      </c>
      <c r="F35" s="575">
        <v>0</v>
      </c>
      <c r="G35" s="575">
        <v>0</v>
      </c>
      <c r="H35" s="577" t="s">
        <v>1246</v>
      </c>
    </row>
    <row r="36" spans="1:8">
      <c r="A36" s="278" t="s">
        <v>573</v>
      </c>
      <c r="B36" s="960" t="s">
        <v>1225</v>
      </c>
      <c r="C36" s="575">
        <v>830838</v>
      </c>
      <c r="D36" s="575">
        <v>830838</v>
      </c>
      <c r="E36" s="575">
        <v>0</v>
      </c>
      <c r="F36" s="575">
        <v>0</v>
      </c>
      <c r="G36" s="575">
        <v>0</v>
      </c>
      <c r="H36" s="577" t="s">
        <v>1246</v>
      </c>
    </row>
    <row r="37" spans="1:8">
      <c r="A37" s="278" t="s">
        <v>574</v>
      </c>
      <c r="B37" s="960" t="s">
        <v>1226</v>
      </c>
      <c r="C37" s="575">
        <v>642817</v>
      </c>
      <c r="D37" s="575">
        <v>642817</v>
      </c>
      <c r="E37" s="575">
        <v>0</v>
      </c>
      <c r="F37" s="575">
        <v>0</v>
      </c>
      <c r="G37" s="578">
        <v>0</v>
      </c>
      <c r="H37" s="577" t="s">
        <v>1246</v>
      </c>
    </row>
    <row r="38" spans="1:8">
      <c r="A38" s="278" t="s">
        <v>575</v>
      </c>
      <c r="B38" s="960" t="s">
        <v>1227</v>
      </c>
      <c r="C38" s="575">
        <v>0</v>
      </c>
      <c r="D38" s="575">
        <v>0</v>
      </c>
      <c r="E38" s="575">
        <v>0</v>
      </c>
      <c r="F38" s="575">
        <v>0</v>
      </c>
      <c r="G38" s="575">
        <v>0</v>
      </c>
      <c r="H38" s="577">
        <v>0</v>
      </c>
    </row>
    <row r="39" spans="1:8">
      <c r="A39" s="278" t="s">
        <v>576</v>
      </c>
      <c r="B39" s="960" t="s">
        <v>1228</v>
      </c>
      <c r="C39" s="575">
        <v>22565</v>
      </c>
      <c r="D39" s="575">
        <v>0</v>
      </c>
      <c r="E39" s="575">
        <v>0</v>
      </c>
      <c r="F39" s="575">
        <v>22565</v>
      </c>
      <c r="G39" s="575">
        <v>0</v>
      </c>
      <c r="H39" s="579" t="s">
        <v>1253</v>
      </c>
    </row>
    <row r="40" spans="1:8">
      <c r="A40" s="278" t="s">
        <v>577</v>
      </c>
      <c r="B40" s="960" t="s">
        <v>1229</v>
      </c>
      <c r="C40" s="575">
        <v>254707</v>
      </c>
      <c r="D40" s="575">
        <v>254707</v>
      </c>
      <c r="E40" s="575">
        <v>0</v>
      </c>
      <c r="F40" s="575">
        <v>0</v>
      </c>
      <c r="G40" s="575">
        <v>0</v>
      </c>
      <c r="H40" s="577" t="s">
        <v>1246</v>
      </c>
    </row>
    <row r="41" spans="1:8">
      <c r="A41" s="278" t="s">
        <v>578</v>
      </c>
      <c r="B41" s="960" t="s">
        <v>1230</v>
      </c>
      <c r="C41" s="575">
        <v>106198</v>
      </c>
      <c r="D41" s="575">
        <v>0</v>
      </c>
      <c r="E41" s="575">
        <v>0</v>
      </c>
      <c r="F41" s="575">
        <v>106198</v>
      </c>
      <c r="G41" s="578">
        <v>0</v>
      </c>
      <c r="H41" s="966" t="s">
        <v>1254</v>
      </c>
    </row>
    <row r="42" spans="1:8">
      <c r="A42" s="278" t="s">
        <v>579</v>
      </c>
      <c r="B42" s="960" t="s">
        <v>1231</v>
      </c>
      <c r="C42" s="575">
        <v>241762</v>
      </c>
      <c r="D42" s="575">
        <v>0</v>
      </c>
      <c r="E42" s="575">
        <v>0</v>
      </c>
      <c r="F42" s="575">
        <v>241762</v>
      </c>
      <c r="G42" s="575">
        <v>0</v>
      </c>
      <c r="H42" s="579" t="s">
        <v>1255</v>
      </c>
    </row>
    <row r="43" spans="1:8" ht="30">
      <c r="A43" s="278" t="s">
        <v>580</v>
      </c>
      <c r="B43" s="960" t="s">
        <v>1232</v>
      </c>
      <c r="C43" s="575">
        <v>-131642226</v>
      </c>
      <c r="D43" s="575">
        <v>0</v>
      </c>
      <c r="E43" s="575">
        <v>0</v>
      </c>
      <c r="F43" s="575">
        <v>0</v>
      </c>
      <c r="G43" s="575">
        <v>-131642226</v>
      </c>
      <c r="H43" s="577" t="s">
        <v>1256</v>
      </c>
    </row>
    <row r="44" spans="1:8">
      <c r="A44" s="278" t="s">
        <v>581</v>
      </c>
      <c r="B44" s="960" t="s">
        <v>1233</v>
      </c>
      <c r="C44" s="575">
        <v>3990295</v>
      </c>
      <c r="D44" s="575">
        <v>3990295</v>
      </c>
      <c r="E44" s="575">
        <v>0</v>
      </c>
      <c r="F44" s="575">
        <v>0</v>
      </c>
      <c r="G44" s="575">
        <v>0</v>
      </c>
      <c r="H44" s="577" t="s">
        <v>1246</v>
      </c>
    </row>
    <row r="45" spans="1:8" ht="30">
      <c r="A45" s="278" t="s">
        <v>582</v>
      </c>
      <c r="B45" s="960" t="s">
        <v>1234</v>
      </c>
      <c r="C45" s="575">
        <v>116640780</v>
      </c>
      <c r="D45" s="575">
        <v>0</v>
      </c>
      <c r="E45" s="575">
        <v>0</v>
      </c>
      <c r="F45" s="575">
        <v>0</v>
      </c>
      <c r="G45" s="575">
        <v>116640780</v>
      </c>
      <c r="H45" s="577" t="s">
        <v>1257</v>
      </c>
    </row>
    <row r="46" spans="1:8" ht="45">
      <c r="A46" s="278" t="s">
        <v>583</v>
      </c>
      <c r="B46" s="960" t="s">
        <v>1235</v>
      </c>
      <c r="C46" s="575">
        <v>31598</v>
      </c>
      <c r="D46" s="575">
        <v>31598</v>
      </c>
      <c r="E46" s="575">
        <v>0</v>
      </c>
      <c r="F46" s="575">
        <v>0</v>
      </c>
      <c r="G46" s="578">
        <v>0</v>
      </c>
      <c r="H46" s="577" t="s">
        <v>1258</v>
      </c>
    </row>
    <row r="47" spans="1:8">
      <c r="A47" s="278" t="s">
        <v>584</v>
      </c>
      <c r="B47" s="960" t="s">
        <v>1236</v>
      </c>
      <c r="C47" s="575">
        <v>8280528</v>
      </c>
      <c r="D47" s="575">
        <v>8280528</v>
      </c>
      <c r="E47" s="575">
        <v>0</v>
      </c>
      <c r="F47" s="575">
        <v>0</v>
      </c>
      <c r="G47" s="578">
        <v>0</v>
      </c>
      <c r="H47" s="577" t="s">
        <v>1259</v>
      </c>
    </row>
    <row r="48" spans="1:8">
      <c r="A48" s="278" t="s">
        <v>585</v>
      </c>
      <c r="B48" s="960" t="s">
        <v>1237</v>
      </c>
      <c r="C48" s="575">
        <v>234547</v>
      </c>
      <c r="D48" s="575">
        <v>234547</v>
      </c>
      <c r="E48" s="575">
        <v>0</v>
      </c>
      <c r="F48" s="575">
        <v>0</v>
      </c>
      <c r="G48" s="575">
        <v>0</v>
      </c>
      <c r="H48" s="577" t="s">
        <v>1259</v>
      </c>
    </row>
    <row r="49" spans="1:10">
      <c r="A49" s="278" t="s">
        <v>586</v>
      </c>
      <c r="B49" s="960" t="s">
        <v>1238</v>
      </c>
      <c r="C49" s="575">
        <v>1763437</v>
      </c>
      <c r="D49" s="575">
        <v>0</v>
      </c>
      <c r="E49" s="575">
        <v>1763437</v>
      </c>
      <c r="F49" s="575">
        <v>0</v>
      </c>
      <c r="G49" s="575">
        <v>0</v>
      </c>
      <c r="H49" s="966" t="s">
        <v>1260</v>
      </c>
    </row>
    <row r="50" spans="1:10">
      <c r="A50" s="278" t="s">
        <v>587</v>
      </c>
      <c r="B50" s="960" t="s">
        <v>1239</v>
      </c>
      <c r="C50" s="575">
        <v>65881</v>
      </c>
      <c r="D50" s="575">
        <v>0</v>
      </c>
      <c r="E50" s="575">
        <v>0</v>
      </c>
      <c r="F50" s="575">
        <v>0</v>
      </c>
      <c r="G50" s="575">
        <v>65881</v>
      </c>
      <c r="H50" s="577" t="s">
        <v>1261</v>
      </c>
    </row>
    <row r="51" spans="1:10" ht="30">
      <c r="A51" s="278" t="s">
        <v>588</v>
      </c>
      <c r="B51" s="960" t="s">
        <v>1240</v>
      </c>
      <c r="C51" s="575">
        <v>2034503</v>
      </c>
      <c r="D51" s="575">
        <v>0</v>
      </c>
      <c r="E51" s="575">
        <v>0</v>
      </c>
      <c r="F51" s="575">
        <v>0</v>
      </c>
      <c r="G51" s="575">
        <v>2034503</v>
      </c>
      <c r="H51" s="577" t="s">
        <v>1262</v>
      </c>
    </row>
    <row r="52" spans="1:10">
      <c r="A52" s="278" t="s">
        <v>589</v>
      </c>
      <c r="B52" s="960" t="s">
        <v>1241</v>
      </c>
      <c r="C52" s="575">
        <v>2182580</v>
      </c>
      <c r="D52" s="575">
        <v>2182580</v>
      </c>
      <c r="E52" s="575">
        <v>0</v>
      </c>
      <c r="F52" s="575">
        <v>0</v>
      </c>
      <c r="G52" s="575">
        <v>0</v>
      </c>
      <c r="H52" s="577" t="s">
        <v>1246</v>
      </c>
    </row>
    <row r="53" spans="1:10" ht="30">
      <c r="A53" s="278" t="s">
        <v>590</v>
      </c>
      <c r="B53" s="960" t="s">
        <v>1242</v>
      </c>
      <c r="C53" s="575">
        <v>6181097</v>
      </c>
      <c r="D53" s="575">
        <v>0</v>
      </c>
      <c r="E53" s="575">
        <v>0</v>
      </c>
      <c r="F53" s="575">
        <v>0</v>
      </c>
      <c r="G53" s="575">
        <v>6181097</v>
      </c>
      <c r="H53" s="577" t="s">
        <v>1263</v>
      </c>
    </row>
    <row r="54" spans="1:10">
      <c r="A54" s="278" t="s">
        <v>591</v>
      </c>
      <c r="B54" s="575"/>
      <c r="C54" s="575"/>
      <c r="D54" s="575"/>
      <c r="E54" s="575"/>
      <c r="F54" s="575"/>
      <c r="G54" s="575"/>
      <c r="H54" s="577"/>
    </row>
    <row r="55" spans="1:10">
      <c r="A55" s="278" t="s">
        <v>592</v>
      </c>
      <c r="B55" s="575"/>
      <c r="C55" s="575"/>
      <c r="D55" s="575"/>
      <c r="E55" s="575"/>
      <c r="F55" s="575"/>
      <c r="G55" s="575"/>
      <c r="H55" s="577"/>
    </row>
    <row r="56" spans="1:10">
      <c r="A56" s="278" t="s">
        <v>593</v>
      </c>
      <c r="B56" s="575"/>
      <c r="C56" s="575"/>
      <c r="D56" s="575"/>
      <c r="E56" s="575"/>
      <c r="F56" s="575"/>
      <c r="G56" s="575"/>
      <c r="H56" s="577"/>
    </row>
    <row r="57" spans="1:10">
      <c r="A57" s="278" t="s">
        <v>594</v>
      </c>
      <c r="B57" s="575"/>
      <c r="C57" s="575"/>
      <c r="D57" s="575"/>
      <c r="E57" s="587"/>
      <c r="F57" s="587"/>
      <c r="G57" s="578"/>
      <c r="H57" s="576"/>
    </row>
    <row r="58" spans="1:10">
      <c r="A58" s="278" t="s">
        <v>595</v>
      </c>
      <c r="B58" s="575"/>
      <c r="C58" s="575"/>
      <c r="D58" s="575"/>
      <c r="E58" s="587"/>
      <c r="F58" s="587"/>
      <c r="G58" s="578"/>
      <c r="H58" s="576"/>
    </row>
    <row r="59" spans="1:10">
      <c r="A59" s="278" t="s">
        <v>596</v>
      </c>
      <c r="B59" s="575"/>
      <c r="C59" s="575"/>
      <c r="D59" s="575"/>
      <c r="E59" s="587"/>
      <c r="F59" s="587"/>
      <c r="G59" s="575"/>
      <c r="H59" s="576"/>
    </row>
    <row r="60" spans="1:10">
      <c r="A60" s="278" t="s">
        <v>597</v>
      </c>
      <c r="B60" s="575"/>
      <c r="C60" s="575"/>
      <c r="D60" s="575"/>
      <c r="E60" s="587"/>
      <c r="F60" s="575"/>
      <c r="G60" s="578"/>
      <c r="H60" s="576"/>
    </row>
    <row r="61" spans="1:10">
      <c r="A61" s="278">
        <v>2</v>
      </c>
      <c r="B61" s="280" t="s">
        <v>1058</v>
      </c>
      <c r="C61" s="279">
        <f>SUM(C21:C60)</f>
        <v>114316685</v>
      </c>
      <c r="D61" s="279">
        <f>SUM(D21:D60)</f>
        <v>85487599</v>
      </c>
      <c r="E61" s="279">
        <f>SUM(E21:E60)</f>
        <v>1763437</v>
      </c>
      <c r="F61" s="279">
        <f>SUM(F21:F60)</f>
        <v>370525</v>
      </c>
      <c r="G61" s="279">
        <f>SUM(G21:G60)</f>
        <v>26695124</v>
      </c>
      <c r="H61" s="281"/>
      <c r="J61" s="509"/>
    </row>
    <row r="62" spans="1:10">
      <c r="A62" s="278">
        <v>3</v>
      </c>
      <c r="B62" s="280" t="s">
        <v>598</v>
      </c>
      <c r="C62" s="575">
        <v>31256623</v>
      </c>
      <c r="D62" s="575">
        <v>31256623</v>
      </c>
      <c r="E62" s="575"/>
      <c r="F62" s="575"/>
      <c r="G62" s="575"/>
      <c r="H62" s="584"/>
    </row>
    <row r="63" spans="1:10">
      <c r="A63" s="278">
        <v>4</v>
      </c>
      <c r="B63" s="280" t="s">
        <v>599</v>
      </c>
      <c r="C63" s="575"/>
      <c r="D63" s="575"/>
      <c r="E63" s="575"/>
      <c r="F63" s="575"/>
      <c r="G63" s="575"/>
      <c r="H63" s="584"/>
    </row>
    <row r="64" spans="1:10">
      <c r="A64" s="264">
        <v>5</v>
      </c>
      <c r="B64" s="280" t="s">
        <v>13</v>
      </c>
      <c r="C64" s="279">
        <f>+C61-C62-C63</f>
        <v>83060062</v>
      </c>
      <c r="D64" s="279">
        <f>+D61-D62-D63</f>
        <v>54230976</v>
      </c>
      <c r="E64" s="279">
        <f>+E61-E62-E63</f>
        <v>1763437</v>
      </c>
      <c r="F64" s="279">
        <f>+F61-F62-F63</f>
        <v>370525</v>
      </c>
      <c r="G64" s="279">
        <f>+G61-G62-G63</f>
        <v>26695124</v>
      </c>
      <c r="H64" s="281"/>
    </row>
    <row r="65" spans="1:8">
      <c r="B65" s="282"/>
      <c r="C65" s="283"/>
      <c r="D65" s="269"/>
      <c r="E65" s="269"/>
      <c r="F65" s="269"/>
      <c r="G65" s="284"/>
      <c r="H65" s="285"/>
    </row>
    <row r="66" spans="1:8">
      <c r="A66" s="278">
        <v>6</v>
      </c>
      <c r="B66" s="286" t="s">
        <v>600</v>
      </c>
      <c r="C66" s="287"/>
      <c r="D66" s="288"/>
      <c r="E66" s="288"/>
      <c r="F66" s="288"/>
      <c r="G66" s="289"/>
      <c r="H66" s="290"/>
    </row>
    <row r="67" spans="1:8">
      <c r="A67" s="278">
        <v>7</v>
      </c>
      <c r="B67" s="291" t="s">
        <v>601</v>
      </c>
      <c r="C67" s="269"/>
      <c r="D67" s="269"/>
      <c r="E67" s="269"/>
      <c r="F67" s="269"/>
      <c r="G67" s="269"/>
      <c r="H67" s="510"/>
    </row>
    <row r="68" spans="1:8">
      <c r="A68" s="278">
        <v>8</v>
      </c>
      <c r="B68" s="291" t="s">
        <v>602</v>
      </c>
      <c r="C68" s="292"/>
      <c r="D68" s="269"/>
      <c r="E68" s="269"/>
      <c r="F68" s="269"/>
      <c r="G68" s="284"/>
      <c r="H68" s="293"/>
    </row>
    <row r="69" spans="1:8">
      <c r="A69" s="278">
        <v>9</v>
      </c>
      <c r="B69" s="291" t="s">
        <v>603</v>
      </c>
      <c r="C69" s="292"/>
      <c r="D69" s="269"/>
      <c r="E69" s="269"/>
      <c r="F69" s="269"/>
      <c r="G69" s="284"/>
      <c r="H69" s="293"/>
    </row>
    <row r="70" spans="1:8">
      <c r="A70" s="278">
        <v>10</v>
      </c>
      <c r="B70" s="291" t="s">
        <v>604</v>
      </c>
      <c r="C70" s="292"/>
      <c r="D70" s="269"/>
      <c r="E70" s="269"/>
      <c r="F70" s="269"/>
      <c r="G70" s="284"/>
      <c r="H70" s="293"/>
    </row>
    <row r="71" spans="1:8">
      <c r="A71" s="278">
        <v>11</v>
      </c>
      <c r="B71" s="511" t="s">
        <v>605</v>
      </c>
      <c r="C71" s="269"/>
      <c r="D71" s="269"/>
      <c r="E71" s="269"/>
      <c r="F71" s="269"/>
      <c r="G71" s="269"/>
      <c r="H71" s="510"/>
    </row>
    <row r="72" spans="1:8">
      <c r="A72" s="278">
        <v>12</v>
      </c>
      <c r="B72" s="512" t="s">
        <v>606</v>
      </c>
      <c r="C72" s="269"/>
      <c r="D72" s="269"/>
      <c r="E72" s="269"/>
      <c r="F72" s="269"/>
      <c r="G72" s="269"/>
      <c r="H72" s="510"/>
    </row>
    <row r="73" spans="1:8">
      <c r="B73" s="294"/>
      <c r="C73" s="295"/>
      <c r="D73" s="296"/>
      <c r="E73" s="296"/>
      <c r="F73" s="296"/>
      <c r="G73" s="297"/>
      <c r="H73" s="298"/>
    </row>
    <row r="74" spans="1:8">
      <c r="B74" s="1003" t="str">
        <f>'4A - ADIT Summary'!$G$65</f>
        <v>PECO Energy Company</v>
      </c>
      <c r="C74" s="1004"/>
      <c r="D74" s="1004"/>
      <c r="E74" s="1004"/>
      <c r="F74" s="1004"/>
      <c r="G74" s="1004"/>
      <c r="H74" s="1004"/>
    </row>
    <row r="75" spans="1:8" ht="15.75">
      <c r="B75" s="267" t="s">
        <v>541</v>
      </c>
      <c r="C75" s="267"/>
      <c r="D75" s="267"/>
      <c r="E75" s="267"/>
      <c r="F75" s="267"/>
      <c r="G75" s="267"/>
      <c r="H75" s="242"/>
    </row>
    <row r="76" spans="1:8">
      <c r="B76" s="360"/>
      <c r="C76" s="300"/>
      <c r="D76" s="513"/>
      <c r="E76" s="513"/>
      <c r="F76" s="513"/>
      <c r="G76" s="513"/>
      <c r="H76" s="266"/>
    </row>
    <row r="77" spans="1:8">
      <c r="B77" s="299"/>
      <c r="C77" s="300"/>
      <c r="D77" s="513"/>
      <c r="E77" s="513"/>
      <c r="F77" s="513"/>
      <c r="G77" s="513"/>
      <c r="H77" s="266" t="s">
        <v>541</v>
      </c>
    </row>
    <row r="78" spans="1:8">
      <c r="B78" s="299"/>
      <c r="C78" s="300"/>
      <c r="D78" s="513"/>
      <c r="E78" s="513"/>
      <c r="F78" s="513"/>
      <c r="G78" s="513"/>
      <c r="H78" s="266" t="s">
        <v>607</v>
      </c>
    </row>
    <row r="79" spans="1:8">
      <c r="B79" s="299"/>
      <c r="C79" s="300"/>
      <c r="D79" s="513"/>
      <c r="E79" s="513"/>
      <c r="F79" s="513"/>
      <c r="G79" s="513"/>
      <c r="H79" s="514"/>
    </row>
    <row r="80" spans="1:8">
      <c r="B80" s="267"/>
      <c r="C80" s="269"/>
      <c r="D80" s="269"/>
      <c r="E80" s="269"/>
      <c r="F80" s="269"/>
      <c r="G80" s="269"/>
      <c r="H80" s="268"/>
    </row>
    <row r="81" spans="1:8">
      <c r="B81" s="267"/>
      <c r="C81" s="269"/>
      <c r="D81" s="269"/>
      <c r="E81" s="269"/>
      <c r="F81" s="269"/>
      <c r="G81" s="269"/>
      <c r="H81" s="268"/>
    </row>
    <row r="82" spans="1:8">
      <c r="B82" s="299" t="s">
        <v>63</v>
      </c>
      <c r="C82" s="503" t="s">
        <v>64</v>
      </c>
      <c r="D82" s="300" t="s">
        <v>65</v>
      </c>
      <c r="E82" s="300" t="s">
        <v>66</v>
      </c>
      <c r="F82" s="300" t="s">
        <v>67</v>
      </c>
      <c r="G82" s="300" t="s">
        <v>68</v>
      </c>
      <c r="H82" s="299" t="s">
        <v>69</v>
      </c>
    </row>
    <row r="83" spans="1:8">
      <c r="B83" s="268" t="s">
        <v>524</v>
      </c>
      <c r="C83" s="276" t="s">
        <v>13</v>
      </c>
      <c r="D83" s="276" t="s">
        <v>555</v>
      </c>
      <c r="E83" s="265" t="s">
        <v>543</v>
      </c>
      <c r="F83" s="265"/>
      <c r="G83" s="265"/>
      <c r="H83" s="267"/>
    </row>
    <row r="84" spans="1:8">
      <c r="B84" s="301"/>
      <c r="C84" s="276"/>
      <c r="D84" s="276" t="s">
        <v>556</v>
      </c>
      <c r="E84" s="265" t="s">
        <v>17</v>
      </c>
      <c r="F84" s="265" t="s">
        <v>557</v>
      </c>
      <c r="G84" s="265" t="s">
        <v>509</v>
      </c>
      <c r="H84" s="267"/>
    </row>
    <row r="85" spans="1:8">
      <c r="B85" s="319"/>
      <c r="C85" s="320"/>
      <c r="D85" s="276" t="s">
        <v>517</v>
      </c>
      <c r="E85" s="265" t="s">
        <v>517</v>
      </c>
      <c r="F85" s="265" t="s">
        <v>517</v>
      </c>
      <c r="G85" s="265" t="s">
        <v>517</v>
      </c>
      <c r="H85" s="268" t="s">
        <v>558</v>
      </c>
    </row>
    <row r="86" spans="1:8">
      <c r="B86" s="267"/>
      <c r="C86" s="302"/>
      <c r="D86" s="269"/>
      <c r="E86" s="269"/>
      <c r="F86" s="269"/>
      <c r="G86" s="269"/>
      <c r="H86" s="267"/>
    </row>
    <row r="87" spans="1:8">
      <c r="A87" s="264" t="s">
        <v>608</v>
      </c>
      <c r="B87" s="583" t="s">
        <v>1264</v>
      </c>
      <c r="C87" s="583">
        <v>0</v>
      </c>
      <c r="D87" s="583">
        <v>0</v>
      </c>
      <c r="E87" s="583">
        <v>0</v>
      </c>
      <c r="F87" s="583">
        <v>0</v>
      </c>
      <c r="G87" s="583">
        <v>0</v>
      </c>
      <c r="H87" s="577">
        <v>0</v>
      </c>
    </row>
    <row r="88" spans="1:8">
      <c r="A88" s="264" t="s">
        <v>609</v>
      </c>
      <c r="B88" s="583" t="s">
        <v>748</v>
      </c>
      <c r="C88" s="583">
        <v>-39051003</v>
      </c>
      <c r="D88" s="583">
        <v>0</v>
      </c>
      <c r="E88" s="583">
        <v>0</v>
      </c>
      <c r="F88" s="583">
        <v>0</v>
      </c>
      <c r="G88" s="583">
        <v>-39051003</v>
      </c>
      <c r="H88" s="577" t="s">
        <v>1265</v>
      </c>
    </row>
    <row r="89" spans="1:8">
      <c r="A89" s="264" t="s">
        <v>610</v>
      </c>
      <c r="B89" s="583" t="s">
        <v>858</v>
      </c>
      <c r="C89" s="583">
        <v>-1913939237</v>
      </c>
      <c r="D89" s="583">
        <v>-1913939237</v>
      </c>
      <c r="E89" s="583">
        <v>0</v>
      </c>
      <c r="F89" s="583">
        <v>0</v>
      </c>
      <c r="G89" s="583">
        <v>0</v>
      </c>
      <c r="H89" s="577" t="s">
        <v>1266</v>
      </c>
    </row>
    <row r="90" spans="1:8">
      <c r="A90" s="278" t="s">
        <v>611</v>
      </c>
      <c r="B90" s="583" t="s">
        <v>947</v>
      </c>
      <c r="C90" s="583">
        <v>-5406256</v>
      </c>
      <c r="D90" s="583">
        <v>0</v>
      </c>
      <c r="E90" s="583">
        <v>0</v>
      </c>
      <c r="F90" s="583">
        <v>0</v>
      </c>
      <c r="G90" s="583">
        <v>-5406256</v>
      </c>
      <c r="H90" s="577" t="s">
        <v>1265</v>
      </c>
    </row>
    <row r="91" spans="1:8">
      <c r="A91" s="278" t="s">
        <v>612</v>
      </c>
      <c r="B91" s="583" t="s">
        <v>17</v>
      </c>
      <c r="C91" s="583">
        <v>-369697372</v>
      </c>
      <c r="D91" s="583">
        <v>0</v>
      </c>
      <c r="E91" s="583">
        <v>-369697372</v>
      </c>
      <c r="F91" s="583">
        <v>0</v>
      </c>
      <c r="G91" s="583">
        <v>0</v>
      </c>
      <c r="H91" s="577" t="s">
        <v>1267</v>
      </c>
    </row>
    <row r="92" spans="1:8">
      <c r="A92" s="278" t="s">
        <v>613</v>
      </c>
      <c r="B92" s="583"/>
      <c r="C92" s="583"/>
      <c r="D92" s="583"/>
      <c r="E92" s="583"/>
      <c r="F92" s="583"/>
      <c r="G92" s="583"/>
      <c r="H92" s="577"/>
    </row>
    <row r="93" spans="1:8">
      <c r="A93" s="278" t="s">
        <v>614</v>
      </c>
      <c r="B93" s="583"/>
      <c r="C93" s="583"/>
      <c r="D93" s="583"/>
      <c r="E93" s="583"/>
      <c r="F93" s="583"/>
      <c r="G93" s="583"/>
      <c r="H93" s="583"/>
    </row>
    <row r="94" spans="1:8">
      <c r="A94" s="278" t="s">
        <v>615</v>
      </c>
      <c r="B94" s="583"/>
      <c r="C94" s="583"/>
      <c r="D94" s="583"/>
      <c r="E94" s="583"/>
      <c r="F94" s="583"/>
      <c r="G94" s="583"/>
      <c r="H94" s="583"/>
    </row>
    <row r="95" spans="1:8">
      <c r="A95" s="278" t="s">
        <v>316</v>
      </c>
      <c r="B95" s="581"/>
      <c r="C95" s="583"/>
      <c r="D95" s="575"/>
      <c r="E95" s="575"/>
      <c r="F95" s="575"/>
      <c r="G95" s="575"/>
      <c r="H95" s="584"/>
    </row>
    <row r="96" spans="1:8">
      <c r="A96" s="278">
        <v>14</v>
      </c>
      <c r="B96" s="280" t="s">
        <v>1060</v>
      </c>
      <c r="C96" s="279">
        <f>SUM(C87:C95)</f>
        <v>-2328093868</v>
      </c>
      <c r="D96" s="279">
        <f>SUM(D86:D95)</f>
        <v>-1913939237</v>
      </c>
      <c r="E96" s="279">
        <f>SUM(E86:E95)</f>
        <v>-369697372</v>
      </c>
      <c r="F96" s="279">
        <f>SUM(F86:F95)</f>
        <v>0</v>
      </c>
      <c r="G96" s="279">
        <f>SUM(G86:G95)</f>
        <v>-44457259</v>
      </c>
      <c r="H96" s="508"/>
    </row>
    <row r="97" spans="1:8">
      <c r="A97" s="278">
        <v>15</v>
      </c>
      <c r="B97" s="280" t="s">
        <v>598</v>
      </c>
      <c r="C97" s="575">
        <v>-1171612218</v>
      </c>
      <c r="D97" s="575">
        <v>-1029534767</v>
      </c>
      <c r="E97" s="575">
        <v>-122140216</v>
      </c>
      <c r="F97" s="575">
        <v>0</v>
      </c>
      <c r="G97" s="575">
        <v>-19937235</v>
      </c>
      <c r="H97" s="584"/>
    </row>
    <row r="98" spans="1:8">
      <c r="A98" s="278">
        <v>16</v>
      </c>
      <c r="B98" s="280" t="s">
        <v>599</v>
      </c>
      <c r="C98" s="575"/>
      <c r="D98" s="575"/>
      <c r="E98" s="575"/>
      <c r="F98" s="575"/>
      <c r="G98" s="575"/>
      <c r="H98" s="584"/>
    </row>
    <row r="99" spans="1:8">
      <c r="A99" s="278">
        <v>17</v>
      </c>
      <c r="B99" s="280" t="s">
        <v>13</v>
      </c>
      <c r="C99" s="279">
        <f>C96-C97-C98</f>
        <v>-1156481650</v>
      </c>
      <c r="D99" s="279">
        <f>+D96-D97-D98</f>
        <v>-884404470</v>
      </c>
      <c r="E99" s="279">
        <f>+E96-E97-E98</f>
        <v>-247557156</v>
      </c>
      <c r="F99" s="279">
        <f>+F96-F97-F98</f>
        <v>0</v>
      </c>
      <c r="G99" s="279">
        <f>+G96-G97-G98</f>
        <v>-24520024</v>
      </c>
      <c r="H99" s="508"/>
    </row>
    <row r="100" spans="1:8">
      <c r="B100" s="301"/>
      <c r="C100" s="303"/>
      <c r="D100" s="303"/>
      <c r="E100" s="303"/>
      <c r="F100" s="303"/>
      <c r="G100" s="269"/>
      <c r="H100" s="304"/>
    </row>
    <row r="101" spans="1:8" ht="15.75" thickBot="1">
      <c r="B101" s="301"/>
      <c r="C101" s="305"/>
      <c r="D101" s="269"/>
      <c r="E101" s="269"/>
      <c r="F101" s="269"/>
      <c r="G101" s="284"/>
      <c r="H101" s="306"/>
    </row>
    <row r="102" spans="1:8">
      <c r="A102" s="278">
        <v>18</v>
      </c>
      <c r="B102" s="307" t="s">
        <v>616</v>
      </c>
      <c r="C102" s="308"/>
      <c r="D102" s="309"/>
      <c r="E102" s="309"/>
      <c r="F102" s="309"/>
      <c r="G102" s="310"/>
      <c r="H102" s="311"/>
    </row>
    <row r="103" spans="1:8">
      <c r="A103" s="278">
        <v>19</v>
      </c>
      <c r="B103" s="291" t="s">
        <v>601</v>
      </c>
      <c r="C103" s="312"/>
      <c r="D103" s="513"/>
      <c r="E103" s="513"/>
      <c r="F103" s="513"/>
      <c r="G103" s="513"/>
      <c r="H103" s="515"/>
    </row>
    <row r="104" spans="1:8">
      <c r="A104" s="278">
        <v>20</v>
      </c>
      <c r="B104" s="291" t="s">
        <v>602</v>
      </c>
      <c r="C104" s="292"/>
      <c r="D104" s="269"/>
      <c r="E104" s="269"/>
      <c r="F104" s="269"/>
      <c r="G104" s="284"/>
      <c r="H104" s="313"/>
    </row>
    <row r="105" spans="1:8">
      <c r="A105" s="278">
        <v>21</v>
      </c>
      <c r="B105" s="291" t="s">
        <v>603</v>
      </c>
      <c r="C105" s="292"/>
      <c r="D105" s="269"/>
      <c r="E105" s="269"/>
      <c r="F105" s="269"/>
      <c r="G105" s="284"/>
      <c r="H105" s="313"/>
    </row>
    <row r="106" spans="1:8">
      <c r="A106" s="278">
        <v>22</v>
      </c>
      <c r="B106" s="291" t="s">
        <v>604</v>
      </c>
      <c r="C106" s="292"/>
      <c r="D106" s="269"/>
      <c r="E106" s="269"/>
      <c r="F106" s="269"/>
      <c r="G106" s="284"/>
      <c r="H106" s="313"/>
    </row>
    <row r="107" spans="1:8">
      <c r="A107" s="278">
        <v>23</v>
      </c>
      <c r="B107" s="511" t="s">
        <v>605</v>
      </c>
      <c r="C107" s="516"/>
      <c r="D107" s="517"/>
      <c r="E107" s="517"/>
      <c r="F107" s="517"/>
      <c r="G107" s="517"/>
      <c r="H107" s="518"/>
    </row>
    <row r="108" spans="1:8">
      <c r="A108" s="278">
        <v>24</v>
      </c>
      <c r="B108" s="512" t="s">
        <v>606</v>
      </c>
      <c r="C108" s="517"/>
      <c r="D108" s="517"/>
      <c r="E108" s="517"/>
      <c r="F108" s="517"/>
      <c r="G108" s="517"/>
      <c r="H108" s="518"/>
    </row>
    <row r="109" spans="1:8" ht="15.75" thickBot="1">
      <c r="B109" s="294"/>
      <c r="C109" s="314"/>
      <c r="D109" s="315"/>
      <c r="E109" s="315"/>
      <c r="F109" s="315"/>
      <c r="G109" s="316"/>
      <c r="H109" s="317"/>
    </row>
    <row r="110" spans="1:8">
      <c r="B110" s="318"/>
      <c r="C110" s="292"/>
      <c r="D110" s="269"/>
      <c r="E110" s="269"/>
      <c r="F110" s="269"/>
      <c r="G110" s="284"/>
      <c r="H110" s="306"/>
    </row>
    <row r="111" spans="1:8">
      <c r="B111" s="1003" t="str">
        <f>'4A - ADIT Summary'!$G$65</f>
        <v>PECO Energy Company</v>
      </c>
      <c r="C111" s="1004"/>
      <c r="D111" s="1004"/>
      <c r="E111" s="1004"/>
      <c r="F111" s="1004"/>
      <c r="G111" s="1004"/>
      <c r="H111" s="1004"/>
    </row>
    <row r="112" spans="1:8" ht="15.75">
      <c r="B112" s="267" t="s">
        <v>541</v>
      </c>
      <c r="C112" s="267"/>
      <c r="D112" s="267"/>
      <c r="E112" s="267"/>
      <c r="F112" s="267"/>
      <c r="G112" s="267"/>
      <c r="H112" s="242"/>
    </row>
    <row r="113" spans="1:8">
      <c r="B113" s="267"/>
      <c r="C113" s="267"/>
      <c r="D113" s="267"/>
      <c r="E113" s="267"/>
      <c r="F113" s="267"/>
      <c r="G113" s="267"/>
      <c r="H113" s="266"/>
    </row>
    <row r="114" spans="1:8">
      <c r="B114" s="267"/>
      <c r="C114" s="267"/>
      <c r="D114" s="267"/>
      <c r="E114" s="267"/>
      <c r="F114" s="267"/>
      <c r="G114" s="267"/>
      <c r="H114" s="266" t="s">
        <v>541</v>
      </c>
    </row>
    <row r="115" spans="1:8">
      <c r="B115" s="282"/>
      <c r="C115" s="283"/>
      <c r="D115" s="269"/>
      <c r="E115" s="269"/>
      <c r="F115" s="269"/>
      <c r="G115" s="284"/>
      <c r="H115" s="266" t="s">
        <v>617</v>
      </c>
    </row>
    <row r="116" spans="1:8">
      <c r="B116" s="299" t="s">
        <v>63</v>
      </c>
      <c r="C116" s="503" t="s">
        <v>64</v>
      </c>
      <c r="D116" s="300" t="s">
        <v>65</v>
      </c>
      <c r="E116" s="300" t="s">
        <v>66</v>
      </c>
      <c r="F116" s="300" t="s">
        <v>67</v>
      </c>
      <c r="G116" s="300" t="s">
        <v>68</v>
      </c>
      <c r="H116" s="299" t="s">
        <v>69</v>
      </c>
    </row>
    <row r="117" spans="1:8">
      <c r="B117" s="268" t="s">
        <v>530</v>
      </c>
      <c r="C117" s="276" t="s">
        <v>13</v>
      </c>
      <c r="D117" s="276" t="s">
        <v>555</v>
      </c>
      <c r="E117" s="265" t="s">
        <v>543</v>
      </c>
      <c r="F117" s="265"/>
      <c r="G117" s="265"/>
      <c r="H117" s="267"/>
    </row>
    <row r="118" spans="1:8">
      <c r="B118" s="267"/>
      <c r="C118" s="276"/>
      <c r="D118" s="276" t="s">
        <v>556</v>
      </c>
      <c r="E118" s="265" t="s">
        <v>17</v>
      </c>
      <c r="F118" s="265" t="s">
        <v>557</v>
      </c>
      <c r="G118" s="265" t="s">
        <v>509</v>
      </c>
      <c r="H118" s="267"/>
    </row>
    <row r="119" spans="1:8">
      <c r="B119" s="319"/>
      <c r="C119" s="320"/>
      <c r="D119" s="276" t="s">
        <v>517</v>
      </c>
      <c r="E119" s="265" t="s">
        <v>517</v>
      </c>
      <c r="F119" s="265" t="s">
        <v>517</v>
      </c>
      <c r="G119" s="265" t="s">
        <v>517</v>
      </c>
      <c r="H119" s="268" t="s">
        <v>558</v>
      </c>
    </row>
    <row r="120" spans="1:8">
      <c r="B120" s="319"/>
      <c r="C120" s="320"/>
      <c r="D120" s="269"/>
      <c r="E120" s="269"/>
      <c r="F120" s="269"/>
      <c r="G120" s="269"/>
      <c r="H120" s="267"/>
    </row>
    <row r="121" spans="1:8">
      <c r="B121" s="319"/>
      <c r="C121" s="320"/>
      <c r="D121" s="269"/>
      <c r="E121" s="269"/>
      <c r="F121" s="269"/>
      <c r="G121" s="269"/>
      <c r="H121" s="267"/>
    </row>
    <row r="122" spans="1:8">
      <c r="A122" s="264">
        <v>25</v>
      </c>
      <c r="B122" s="575" t="s">
        <v>1268</v>
      </c>
      <c r="C122" s="575">
        <v>-14378386</v>
      </c>
      <c r="D122" s="575">
        <v>-14378386</v>
      </c>
      <c r="E122" s="575">
        <v>0</v>
      </c>
      <c r="F122" s="575">
        <v>0</v>
      </c>
      <c r="G122" s="575">
        <v>0</v>
      </c>
      <c r="H122" s="965" t="s">
        <v>1259</v>
      </c>
    </row>
    <row r="123" spans="1:8">
      <c r="A123" s="264" t="s">
        <v>618</v>
      </c>
      <c r="B123" s="575" t="s">
        <v>1269</v>
      </c>
      <c r="C123" s="575">
        <v>-2480113</v>
      </c>
      <c r="D123" s="575">
        <v>-2480113</v>
      </c>
      <c r="E123" s="575">
        <v>0</v>
      </c>
      <c r="F123" s="575">
        <v>0</v>
      </c>
      <c r="G123" s="575">
        <v>0</v>
      </c>
      <c r="H123" s="577" t="s">
        <v>1259</v>
      </c>
    </row>
    <row r="124" spans="1:8">
      <c r="A124" s="264" t="s">
        <v>619</v>
      </c>
      <c r="B124" s="575" t="s">
        <v>1270</v>
      </c>
      <c r="C124" s="575">
        <v>-685252</v>
      </c>
      <c r="D124" s="575">
        <v>0</v>
      </c>
      <c r="E124" s="575">
        <v>0</v>
      </c>
      <c r="F124" s="575">
        <v>-685252</v>
      </c>
      <c r="G124" s="575">
        <v>0</v>
      </c>
      <c r="H124" s="577" t="s">
        <v>1271</v>
      </c>
    </row>
    <row r="125" spans="1:8">
      <c r="A125" s="264" t="s">
        <v>620</v>
      </c>
      <c r="B125" s="575" t="s">
        <v>1272</v>
      </c>
      <c r="C125" s="575">
        <v>-4307298</v>
      </c>
      <c r="D125" s="575">
        <v>-4307298</v>
      </c>
      <c r="E125" s="575">
        <v>0</v>
      </c>
      <c r="F125" s="575">
        <v>0</v>
      </c>
      <c r="G125" s="575">
        <v>0</v>
      </c>
      <c r="H125" s="577" t="s">
        <v>1259</v>
      </c>
    </row>
    <row r="126" spans="1:8">
      <c r="A126" s="278" t="s">
        <v>621</v>
      </c>
      <c r="B126" s="575" t="s">
        <v>1273</v>
      </c>
      <c r="C126" s="575">
        <v>-179578</v>
      </c>
      <c r="D126" s="575">
        <v>-179578</v>
      </c>
      <c r="E126" s="575">
        <v>0</v>
      </c>
      <c r="F126" s="575">
        <v>0</v>
      </c>
      <c r="G126" s="578">
        <v>0</v>
      </c>
      <c r="H126" s="577" t="s">
        <v>1259</v>
      </c>
    </row>
    <row r="127" spans="1:8">
      <c r="A127" s="278" t="s">
        <v>622</v>
      </c>
      <c r="B127" s="575" t="s">
        <v>1274</v>
      </c>
      <c r="C127" s="575">
        <v>-52703</v>
      </c>
      <c r="D127" s="575">
        <v>-52703</v>
      </c>
      <c r="E127" s="575">
        <v>0</v>
      </c>
      <c r="F127" s="575">
        <v>0</v>
      </c>
      <c r="G127" s="575">
        <v>0</v>
      </c>
      <c r="H127" s="579" t="s">
        <v>1259</v>
      </c>
    </row>
    <row r="128" spans="1:8">
      <c r="A128" s="278" t="s">
        <v>623</v>
      </c>
      <c r="B128" s="575" t="s">
        <v>1275</v>
      </c>
      <c r="C128" s="575">
        <v>-183943</v>
      </c>
      <c r="D128" s="575">
        <v>-183943</v>
      </c>
      <c r="E128" s="575">
        <v>0</v>
      </c>
      <c r="F128" s="575">
        <v>0</v>
      </c>
      <c r="G128" s="575">
        <v>0</v>
      </c>
      <c r="H128" s="966" t="s">
        <v>1259</v>
      </c>
    </row>
    <row r="129" spans="1:8">
      <c r="A129" s="278" t="s">
        <v>624</v>
      </c>
      <c r="B129" s="575" t="s">
        <v>1276</v>
      </c>
      <c r="C129" s="575">
        <v>-404019</v>
      </c>
      <c r="D129" s="575">
        <v>-404019</v>
      </c>
      <c r="E129" s="575">
        <v>0</v>
      </c>
      <c r="F129" s="575">
        <v>0</v>
      </c>
      <c r="G129" s="575">
        <v>0</v>
      </c>
      <c r="H129" s="577" t="s">
        <v>1259</v>
      </c>
    </row>
    <row r="130" spans="1:8">
      <c r="A130" s="278" t="s">
        <v>625</v>
      </c>
      <c r="B130" s="575" t="s">
        <v>1277</v>
      </c>
      <c r="C130" s="575">
        <v>-1344007</v>
      </c>
      <c r="D130" s="575">
        <v>-1344007</v>
      </c>
      <c r="E130" s="575">
        <v>0</v>
      </c>
      <c r="F130" s="575">
        <v>0</v>
      </c>
      <c r="G130" s="575">
        <v>0</v>
      </c>
      <c r="H130" s="577" t="s">
        <v>1259</v>
      </c>
    </row>
    <row r="131" spans="1:8">
      <c r="A131" s="278" t="s">
        <v>626</v>
      </c>
      <c r="B131" s="575" t="s">
        <v>1278</v>
      </c>
      <c r="C131" s="575">
        <v>0</v>
      </c>
      <c r="D131" s="575">
        <v>0</v>
      </c>
      <c r="E131" s="575">
        <v>0</v>
      </c>
      <c r="F131" s="575">
        <v>0</v>
      </c>
      <c r="G131" s="575">
        <v>0</v>
      </c>
      <c r="H131" s="577" t="s">
        <v>1279</v>
      </c>
    </row>
    <row r="132" spans="1:8">
      <c r="A132" s="278" t="s">
        <v>627</v>
      </c>
      <c r="B132" s="575" t="s">
        <v>1280</v>
      </c>
      <c r="C132" s="575">
        <v>-668412</v>
      </c>
      <c r="D132" s="575">
        <v>-668412</v>
      </c>
      <c r="E132" s="575">
        <v>0</v>
      </c>
      <c r="F132" s="575">
        <v>0</v>
      </c>
      <c r="G132" s="575">
        <v>0</v>
      </c>
      <c r="H132" s="577" t="s">
        <v>1246</v>
      </c>
    </row>
    <row r="133" spans="1:8">
      <c r="A133" s="278" t="s">
        <v>628</v>
      </c>
      <c r="B133" s="575" t="s">
        <v>1281</v>
      </c>
      <c r="C133" s="575">
        <v>0</v>
      </c>
      <c r="D133" s="575">
        <v>0</v>
      </c>
      <c r="E133" s="575">
        <v>0</v>
      </c>
      <c r="F133" s="575">
        <v>0</v>
      </c>
      <c r="G133" s="575">
        <v>0</v>
      </c>
      <c r="H133" s="579">
        <v>0</v>
      </c>
    </row>
    <row r="134" spans="1:8" ht="30">
      <c r="A134" s="278" t="s">
        <v>629</v>
      </c>
      <c r="B134" s="575" t="s">
        <v>1282</v>
      </c>
      <c r="C134" s="575">
        <v>-291120</v>
      </c>
      <c r="D134" s="575">
        <v>0</v>
      </c>
      <c r="E134" s="575">
        <v>0</v>
      </c>
      <c r="F134" s="575">
        <v>-291120</v>
      </c>
      <c r="G134" s="575">
        <v>0</v>
      </c>
      <c r="H134" s="577" t="s">
        <v>1283</v>
      </c>
    </row>
    <row r="135" spans="1:8" ht="30">
      <c r="A135" s="278" t="s">
        <v>630</v>
      </c>
      <c r="B135" s="575" t="s">
        <v>1284</v>
      </c>
      <c r="C135" s="575">
        <v>-2402907</v>
      </c>
      <c r="D135" s="575">
        <v>0</v>
      </c>
      <c r="E135" s="575">
        <v>0</v>
      </c>
      <c r="F135" s="575">
        <v>0</v>
      </c>
      <c r="G135" s="575">
        <v>-2402907</v>
      </c>
      <c r="H135" s="577" t="s">
        <v>1285</v>
      </c>
    </row>
    <row r="136" spans="1:8">
      <c r="A136" s="278" t="s">
        <v>631</v>
      </c>
      <c r="B136" s="575" t="s">
        <v>1286</v>
      </c>
      <c r="C136" s="575">
        <v>-4792796</v>
      </c>
      <c r="D136" s="575">
        <v>-4792796</v>
      </c>
      <c r="E136" s="575">
        <v>0</v>
      </c>
      <c r="F136" s="575">
        <v>0</v>
      </c>
      <c r="G136" s="575">
        <v>0</v>
      </c>
      <c r="H136" s="577" t="s">
        <v>1259</v>
      </c>
    </row>
    <row r="137" spans="1:8">
      <c r="A137" s="278" t="s">
        <v>632</v>
      </c>
      <c r="B137" s="575" t="s">
        <v>1273</v>
      </c>
      <c r="C137" s="575">
        <v>-352997</v>
      </c>
      <c r="D137" s="575">
        <v>-352997</v>
      </c>
      <c r="E137" s="575">
        <v>0</v>
      </c>
      <c r="F137" s="575">
        <v>0</v>
      </c>
      <c r="G137" s="575">
        <v>0</v>
      </c>
      <c r="H137" s="577" t="s">
        <v>1259</v>
      </c>
    </row>
    <row r="138" spans="1:8">
      <c r="A138" s="278" t="s">
        <v>633</v>
      </c>
      <c r="B138" s="575" t="s">
        <v>1272</v>
      </c>
      <c r="C138" s="575">
        <v>-292535</v>
      </c>
      <c r="D138" s="575">
        <v>-292535</v>
      </c>
      <c r="E138" s="575">
        <v>0</v>
      </c>
      <c r="F138" s="575">
        <v>0</v>
      </c>
      <c r="G138" s="575">
        <v>0</v>
      </c>
      <c r="H138" s="965" t="s">
        <v>1259</v>
      </c>
    </row>
    <row r="139" spans="1:8">
      <c r="A139" s="278" t="s">
        <v>634</v>
      </c>
      <c r="B139" s="575" t="s">
        <v>1219</v>
      </c>
      <c r="C139" s="575">
        <v>-298985</v>
      </c>
      <c r="D139" s="575">
        <v>0</v>
      </c>
      <c r="E139" s="575">
        <v>0</v>
      </c>
      <c r="F139" s="575">
        <v>0</v>
      </c>
      <c r="G139" s="575">
        <v>-298985</v>
      </c>
      <c r="H139" s="965" t="s">
        <v>1249</v>
      </c>
    </row>
    <row r="140" spans="1:8">
      <c r="A140" s="278" t="s">
        <v>635</v>
      </c>
      <c r="B140" s="575" t="s">
        <v>1275</v>
      </c>
      <c r="C140" s="575">
        <v>-183751</v>
      </c>
      <c r="D140" s="575">
        <v>-183751</v>
      </c>
      <c r="E140" s="575">
        <v>0</v>
      </c>
      <c r="F140" s="575">
        <v>0</v>
      </c>
      <c r="G140" s="575">
        <v>0</v>
      </c>
      <c r="H140" s="965" t="s">
        <v>1259</v>
      </c>
    </row>
    <row r="141" spans="1:8" ht="26.25">
      <c r="A141" s="278" t="s">
        <v>636</v>
      </c>
      <c r="B141" s="575" t="s">
        <v>1287</v>
      </c>
      <c r="C141" s="575">
        <v>-2331</v>
      </c>
      <c r="D141" s="575">
        <v>0</v>
      </c>
      <c r="E141" s="575">
        <v>0</v>
      </c>
      <c r="F141" s="575">
        <v>-2331</v>
      </c>
      <c r="G141" s="575">
        <v>0</v>
      </c>
      <c r="H141" s="965" t="s">
        <v>1288</v>
      </c>
    </row>
    <row r="142" spans="1:8">
      <c r="A142" s="278" t="s">
        <v>637</v>
      </c>
      <c r="B142" s="575" t="s">
        <v>1289</v>
      </c>
      <c r="C142" s="575">
        <v>-55320</v>
      </c>
      <c r="D142" s="575">
        <v>-55320</v>
      </c>
      <c r="E142" s="575">
        <v>0</v>
      </c>
      <c r="F142" s="575">
        <v>0</v>
      </c>
      <c r="G142" s="575">
        <v>0</v>
      </c>
      <c r="H142" s="965" t="s">
        <v>1259</v>
      </c>
    </row>
    <row r="143" spans="1:8">
      <c r="A143" s="278" t="s">
        <v>638</v>
      </c>
      <c r="B143" s="575" t="s">
        <v>1276</v>
      </c>
      <c r="C143" s="575">
        <v>-118249</v>
      </c>
      <c r="D143" s="575">
        <v>-118249</v>
      </c>
      <c r="E143" s="575">
        <v>0</v>
      </c>
      <c r="F143" s="575">
        <v>0</v>
      </c>
      <c r="G143" s="575">
        <v>0</v>
      </c>
      <c r="H143" s="965" t="s">
        <v>1259</v>
      </c>
    </row>
    <row r="144" spans="1:8">
      <c r="A144" s="278" t="s">
        <v>639</v>
      </c>
      <c r="B144" s="575" t="s">
        <v>1290</v>
      </c>
      <c r="C144" s="575">
        <v>-236098</v>
      </c>
      <c r="D144" s="575">
        <v>-236098</v>
      </c>
      <c r="E144" s="575">
        <v>0</v>
      </c>
      <c r="F144" s="575">
        <v>0</v>
      </c>
      <c r="G144" s="575">
        <v>0</v>
      </c>
      <c r="H144" s="577" t="s">
        <v>1291</v>
      </c>
    </row>
    <row r="145" spans="1:10">
      <c r="A145" s="278" t="s">
        <v>640</v>
      </c>
      <c r="B145" s="575" t="s">
        <v>1292</v>
      </c>
      <c r="C145" s="575">
        <v>-8605739</v>
      </c>
      <c r="D145" s="575">
        <v>0</v>
      </c>
      <c r="E145" s="575">
        <v>0</v>
      </c>
      <c r="F145" s="575">
        <v>-8605739</v>
      </c>
      <c r="G145" s="575">
        <v>0</v>
      </c>
      <c r="H145" s="791" t="s">
        <v>1293</v>
      </c>
    </row>
    <row r="146" spans="1:10">
      <c r="A146" s="961" t="s">
        <v>641</v>
      </c>
      <c r="B146" s="575"/>
      <c r="C146" s="575"/>
      <c r="D146" s="575"/>
      <c r="E146" s="575"/>
      <c r="F146" s="575"/>
      <c r="G146" s="575"/>
      <c r="H146" s="577"/>
    </row>
    <row r="147" spans="1:10">
      <c r="A147" s="278" t="s">
        <v>644</v>
      </c>
      <c r="B147" s="581"/>
      <c r="C147" s="575"/>
      <c r="D147" s="575"/>
      <c r="E147" s="575"/>
      <c r="F147" s="575"/>
      <c r="G147" s="575"/>
      <c r="H147" s="582"/>
    </row>
    <row r="148" spans="1:10">
      <c r="A148" s="264">
        <v>26</v>
      </c>
      <c r="B148" s="280" t="s">
        <v>1062</v>
      </c>
      <c r="C148" s="321">
        <f>SUM(C122:C147)</f>
        <v>-42316539</v>
      </c>
      <c r="D148" s="321">
        <f>SUM(D122:D147)</f>
        <v>-30030205</v>
      </c>
      <c r="E148" s="321">
        <f>SUM(E122:E147)</f>
        <v>0</v>
      </c>
      <c r="F148" s="321">
        <f>SUM(F122:F147)</f>
        <v>-9584442</v>
      </c>
      <c r="G148" s="321">
        <f>SUM(G122:G147)</f>
        <v>-2701892</v>
      </c>
      <c r="H148" s="519"/>
      <c r="J148" s="509"/>
    </row>
    <row r="149" spans="1:10">
      <c r="A149" s="264">
        <v>27</v>
      </c>
      <c r="B149" s="280" t="s">
        <v>598</v>
      </c>
      <c r="C149" s="588">
        <v>-1344007</v>
      </c>
      <c r="D149" s="588">
        <v>-1344007</v>
      </c>
      <c r="E149" s="588"/>
      <c r="F149" s="588"/>
      <c r="G149" s="588"/>
      <c r="H149" s="582"/>
    </row>
    <row r="150" spans="1:10">
      <c r="A150" s="264">
        <v>28</v>
      </c>
      <c r="B150" s="280" t="s">
        <v>599</v>
      </c>
      <c r="C150" s="575"/>
      <c r="D150" s="588"/>
      <c r="E150" s="588"/>
      <c r="F150" s="588"/>
      <c r="G150" s="588"/>
      <c r="H150" s="582"/>
    </row>
    <row r="151" spans="1:10">
      <c r="A151" s="278">
        <v>29</v>
      </c>
      <c r="B151" s="280" t="s">
        <v>13</v>
      </c>
      <c r="C151" s="321">
        <f>C148-C149-C150</f>
        <v>-40972532</v>
      </c>
      <c r="D151" s="321">
        <f>+D148-D149-D150</f>
        <v>-28686198</v>
      </c>
      <c r="E151" s="321">
        <f>+E148-E149-E150</f>
        <v>0</v>
      </c>
      <c r="F151" s="321">
        <f>+F148-F149-F150</f>
        <v>-9584442</v>
      </c>
      <c r="G151" s="321">
        <f>+G148-G149-G150</f>
        <v>-2701892</v>
      </c>
      <c r="H151" s="519"/>
    </row>
    <row r="152" spans="1:10" ht="15.75" thickBot="1">
      <c r="A152" s="278"/>
      <c r="B152" s="301"/>
      <c r="C152" s="322"/>
      <c r="D152" s="322"/>
      <c r="E152" s="322"/>
      <c r="F152" s="322"/>
      <c r="G152" s="322"/>
      <c r="H152" s="520"/>
    </row>
    <row r="153" spans="1:10">
      <c r="A153" s="278">
        <v>30</v>
      </c>
      <c r="B153" s="307" t="s">
        <v>645</v>
      </c>
    </row>
    <row r="154" spans="1:10">
      <c r="A154" s="278">
        <v>31</v>
      </c>
      <c r="B154" s="291" t="s">
        <v>601</v>
      </c>
    </row>
    <row r="155" spans="1:10">
      <c r="A155" s="278">
        <v>32</v>
      </c>
      <c r="B155" s="291" t="s">
        <v>602</v>
      </c>
    </row>
    <row r="156" spans="1:10">
      <c r="A156" s="278">
        <v>33</v>
      </c>
      <c r="B156" s="291" t="s">
        <v>603</v>
      </c>
    </row>
    <row r="157" spans="1:10">
      <c r="A157" s="278">
        <v>34</v>
      </c>
      <c r="B157" s="291" t="s">
        <v>604</v>
      </c>
    </row>
    <row r="158" spans="1:10">
      <c r="A158" s="278">
        <v>35</v>
      </c>
      <c r="B158" s="511" t="s">
        <v>605</v>
      </c>
    </row>
    <row r="159" spans="1:10">
      <c r="A159" s="278">
        <v>36</v>
      </c>
      <c r="B159" s="512" t="s">
        <v>606</v>
      </c>
    </row>
    <row r="160" spans="1:10">
      <c r="B160" s="318"/>
    </row>
    <row r="161" spans="2:2">
      <c r="B161" s="267"/>
    </row>
    <row r="162" spans="2:2">
      <c r="B162" s="267"/>
    </row>
  </sheetData>
  <mergeCells count="4">
    <mergeCell ref="B1:H1"/>
    <mergeCell ref="B74:H74"/>
    <mergeCell ref="B111:H111"/>
    <mergeCell ref="B2:H2"/>
  </mergeCells>
  <pageMargins left="0.7" right="0.7" top="0.75" bottom="0.75" header="0.3" footer="0.3"/>
  <pageSetup scale="45" fitToHeight="0" orientation="landscape" r:id="rId1"/>
  <rowBreaks count="2" manualBreakCount="2">
    <brk id="65" max="7" man="1"/>
    <brk id="109"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3"/>
  <sheetViews>
    <sheetView view="pageBreakPreview" topLeftCell="A123" zoomScale="40" zoomScaleNormal="80" zoomScaleSheetLayoutView="40" workbookViewId="0">
      <selection activeCell="C152" sqref="C152:H152"/>
    </sheetView>
  </sheetViews>
  <sheetFormatPr defaultColWidth="8.88671875" defaultRowHeight="15"/>
  <cols>
    <col min="1" max="1" width="4.88671875" style="264" customWidth="1"/>
    <col min="2" max="2" width="51.33203125" style="275" customWidth="1"/>
    <col min="3" max="3" width="14.21875" style="275" customWidth="1"/>
    <col min="4" max="4" width="16" style="275" customWidth="1"/>
    <col min="5" max="5" width="13.21875" style="275" customWidth="1"/>
    <col min="6" max="6" width="11.77734375" style="275" customWidth="1"/>
    <col min="7" max="7" width="11.6640625" style="275" bestFit="1" customWidth="1"/>
    <col min="8" max="8" width="103.77734375" style="773" customWidth="1"/>
    <col min="9" max="9" width="8.88671875" style="490"/>
    <col min="10" max="10" width="8.77734375" style="490" customWidth="1"/>
    <col min="11" max="16384" width="8.88671875" style="490"/>
  </cols>
  <sheetData>
    <row r="1" spans="1:9">
      <c r="B1" s="1001" t="s">
        <v>1065</v>
      </c>
      <c r="C1" s="1002"/>
      <c r="D1" s="1002"/>
      <c r="E1" s="1002"/>
      <c r="F1" s="1002"/>
      <c r="G1" s="1002"/>
      <c r="H1" s="1002"/>
      <c r="I1" s="243"/>
    </row>
    <row r="2" spans="1:9">
      <c r="B2" s="1003" t="str">
        <f>'4A - ADIT Summary'!$G$65</f>
        <v>PECO Energy Company</v>
      </c>
      <c r="C2" s="1004"/>
      <c r="D2" s="1004"/>
      <c r="E2" s="1004"/>
      <c r="F2" s="1004"/>
      <c r="G2" s="1004"/>
      <c r="H2" s="1004"/>
      <c r="I2" s="243"/>
    </row>
    <row r="3" spans="1:9">
      <c r="B3" s="267" t="s">
        <v>646</v>
      </c>
      <c r="C3" s="267"/>
      <c r="D3" s="267"/>
      <c r="E3" s="267"/>
      <c r="F3" s="267"/>
      <c r="G3" s="267"/>
      <c r="H3" s="769"/>
      <c r="I3" s="243"/>
    </row>
    <row r="4" spans="1:9">
      <c r="B4" s="299" t="s">
        <v>63</v>
      </c>
      <c r="C4" s="300" t="s">
        <v>64</v>
      </c>
      <c r="D4" s="300" t="s">
        <v>65</v>
      </c>
      <c r="E4" s="300" t="s">
        <v>66</v>
      </c>
      <c r="F4" s="300" t="s">
        <v>67</v>
      </c>
      <c r="G4" s="300" t="s">
        <v>68</v>
      </c>
      <c r="H4" s="769" t="s">
        <v>646</v>
      </c>
      <c r="I4" s="243"/>
    </row>
    <row r="5" spans="1:9">
      <c r="B5" s="267"/>
      <c r="C5" s="267"/>
      <c r="D5" s="267"/>
      <c r="E5" s="265" t="s">
        <v>543</v>
      </c>
      <c r="F5" s="269"/>
      <c r="G5" s="265"/>
      <c r="H5" s="769" t="s">
        <v>542</v>
      </c>
      <c r="I5" s="243"/>
    </row>
    <row r="6" spans="1:9">
      <c r="B6" s="267"/>
      <c r="C6" s="267"/>
      <c r="D6" s="267"/>
      <c r="E6" s="265" t="s">
        <v>17</v>
      </c>
      <c r="F6" s="265" t="s">
        <v>557</v>
      </c>
      <c r="G6" s="265" t="s">
        <v>509</v>
      </c>
      <c r="H6" s="770"/>
      <c r="I6" s="243"/>
    </row>
    <row r="7" spans="1:9">
      <c r="B7" s="267"/>
      <c r="C7" s="504" t="s">
        <v>13</v>
      </c>
      <c r="D7" s="267"/>
      <c r="E7" s="265" t="s">
        <v>517</v>
      </c>
      <c r="F7" s="265" t="s">
        <v>517</v>
      </c>
      <c r="G7" s="265" t="s">
        <v>517</v>
      </c>
      <c r="H7" s="770"/>
      <c r="I7" s="243"/>
    </row>
    <row r="8" spans="1:9">
      <c r="B8" s="267"/>
      <c r="C8" s="267"/>
      <c r="D8" s="267"/>
      <c r="E8" s="269"/>
      <c r="F8" s="269"/>
      <c r="G8" s="269"/>
      <c r="H8" s="769"/>
      <c r="I8" s="243"/>
    </row>
    <row r="9" spans="1:9">
      <c r="A9" s="264" t="s">
        <v>544</v>
      </c>
      <c r="B9" s="268" t="s">
        <v>524</v>
      </c>
      <c r="C9" s="323">
        <f>+C100</f>
        <v>-1217638235</v>
      </c>
      <c r="D9" s="267"/>
      <c r="E9" s="323">
        <f>E100</f>
        <v>-266240038</v>
      </c>
      <c r="F9" s="323">
        <f>F100</f>
        <v>0</v>
      </c>
      <c r="G9" s="323">
        <f>G100</f>
        <v>-33359806</v>
      </c>
      <c r="H9" s="517" t="s">
        <v>545</v>
      </c>
      <c r="I9" s="243"/>
    </row>
    <row r="10" spans="1:9">
      <c r="A10" s="264" t="s">
        <v>546</v>
      </c>
      <c r="B10" s="268" t="s">
        <v>530</v>
      </c>
      <c r="C10" s="323">
        <f>+C154</f>
        <v>-139744365.19238198</v>
      </c>
      <c r="D10" s="267"/>
      <c r="E10" s="323">
        <f>E154</f>
        <v>0</v>
      </c>
      <c r="F10" s="323">
        <f>F154</f>
        <v>-6327127.6591433417</v>
      </c>
      <c r="G10" s="323">
        <f>G154</f>
        <v>-108024769.61478905</v>
      </c>
      <c r="H10" s="517" t="s">
        <v>547</v>
      </c>
      <c r="I10" s="243"/>
    </row>
    <row r="11" spans="1:9">
      <c r="A11" s="264" t="s">
        <v>548</v>
      </c>
      <c r="B11" s="268" t="s">
        <v>533</v>
      </c>
      <c r="C11" s="323">
        <f>+C65</f>
        <v>185826860.22189999</v>
      </c>
      <c r="D11" s="267"/>
      <c r="E11" s="323">
        <f>E65</f>
        <v>0</v>
      </c>
      <c r="F11" s="323">
        <f>F65</f>
        <v>7420671.0091658449</v>
      </c>
      <c r="G11" s="323">
        <f>G65</f>
        <v>153189182</v>
      </c>
      <c r="H11" s="517" t="s">
        <v>549</v>
      </c>
      <c r="I11" s="243"/>
    </row>
    <row r="12" spans="1:9">
      <c r="A12" s="264" t="s">
        <v>550</v>
      </c>
      <c r="B12" s="268" t="s">
        <v>551</v>
      </c>
      <c r="C12" s="323">
        <f>SUM(C9:C11)</f>
        <v>-1171555739.9704819</v>
      </c>
      <c r="D12" s="267"/>
      <c r="E12" s="323">
        <f>SUM(E9:E11)</f>
        <v>-266240038</v>
      </c>
      <c r="F12" s="323">
        <f>SUM(F9:F11)</f>
        <v>1093543.3500225032</v>
      </c>
      <c r="G12" s="323">
        <f>SUM(G9:G11)</f>
        <v>11804606.385210931</v>
      </c>
      <c r="H12" s="517" t="s">
        <v>552</v>
      </c>
      <c r="I12" s="243"/>
    </row>
    <row r="13" spans="1:9">
      <c r="B13" s="268"/>
      <c r="C13" s="323"/>
      <c r="D13" s="323"/>
      <c r="E13" s="324"/>
      <c r="F13" s="324"/>
      <c r="G13" s="324"/>
      <c r="H13" s="771"/>
      <c r="I13" s="243"/>
    </row>
    <row r="14" spans="1:9">
      <c r="B14" s="267"/>
      <c r="C14" s="323"/>
      <c r="D14" s="323"/>
      <c r="E14" s="323"/>
      <c r="F14" s="323"/>
      <c r="G14" s="323"/>
      <c r="H14" s="771"/>
      <c r="I14" s="243"/>
    </row>
    <row r="15" spans="1:9">
      <c r="B15" s="268"/>
      <c r="C15" s="323"/>
      <c r="D15" s="323"/>
      <c r="E15" s="323"/>
      <c r="F15" s="323"/>
      <c r="G15" s="323"/>
      <c r="H15" s="772"/>
      <c r="I15" s="243"/>
    </row>
    <row r="16" spans="1:9">
      <c r="B16" s="267"/>
      <c r="C16" s="269"/>
      <c r="D16" s="269"/>
      <c r="E16" s="269"/>
      <c r="F16" s="269"/>
      <c r="G16" s="269"/>
      <c r="H16" s="770"/>
      <c r="I16" s="243"/>
    </row>
    <row r="17" spans="1:12">
      <c r="A17" s="264" t="s">
        <v>8</v>
      </c>
      <c r="B17" s="325" t="s">
        <v>553</v>
      </c>
      <c r="C17" s="326"/>
      <c r="D17" s="269"/>
      <c r="E17" s="269"/>
      <c r="F17" s="269"/>
      <c r="G17" s="269"/>
      <c r="H17" s="770"/>
      <c r="I17" s="243"/>
    </row>
    <row r="18" spans="1:12">
      <c r="B18" s="272" t="s">
        <v>554</v>
      </c>
      <c r="C18" s="273"/>
      <c r="D18" s="274"/>
      <c r="E18" s="274"/>
      <c r="F18" s="274"/>
      <c r="G18" s="274"/>
    </row>
    <row r="19" spans="1:12">
      <c r="B19" s="502" t="s">
        <v>63</v>
      </c>
      <c r="C19" s="503" t="s">
        <v>64</v>
      </c>
      <c r="D19" s="503" t="s">
        <v>65</v>
      </c>
      <c r="E19" s="503" t="s">
        <v>66</v>
      </c>
      <c r="F19" s="503" t="s">
        <v>67</v>
      </c>
      <c r="G19" s="503" t="s">
        <v>68</v>
      </c>
      <c r="H19" s="774" t="s">
        <v>69</v>
      </c>
    </row>
    <row r="20" spans="1:12">
      <c r="B20" s="505" t="s">
        <v>533</v>
      </c>
      <c r="C20" s="276" t="s">
        <v>13</v>
      </c>
      <c r="D20" s="276" t="s">
        <v>555</v>
      </c>
      <c r="E20" s="276" t="s">
        <v>543</v>
      </c>
      <c r="F20" s="276"/>
      <c r="G20" s="276"/>
    </row>
    <row r="21" spans="1:12">
      <c r="A21" s="264">
        <v>1</v>
      </c>
      <c r="C21" s="276"/>
      <c r="D21" s="276" t="s">
        <v>556</v>
      </c>
      <c r="E21" s="276" t="s">
        <v>17</v>
      </c>
      <c r="F21" s="276" t="s">
        <v>557</v>
      </c>
      <c r="G21" s="276" t="s">
        <v>509</v>
      </c>
    </row>
    <row r="22" spans="1:12">
      <c r="A22" s="264" t="s">
        <v>559</v>
      </c>
      <c r="C22" s="276"/>
      <c r="D22" s="276" t="s">
        <v>517</v>
      </c>
      <c r="E22" s="276" t="s">
        <v>517</v>
      </c>
      <c r="F22" s="276" t="s">
        <v>517</v>
      </c>
      <c r="G22" s="276" t="s">
        <v>517</v>
      </c>
      <c r="H22" s="775" t="s">
        <v>558</v>
      </c>
    </row>
    <row r="23" spans="1:12">
      <c r="A23" s="264" t="s">
        <v>560</v>
      </c>
      <c r="B23" s="506"/>
      <c r="C23" s="507"/>
      <c r="D23" s="521"/>
      <c r="E23" s="274"/>
      <c r="F23" s="274"/>
      <c r="G23" s="274"/>
    </row>
    <row r="24" spans="1:12" ht="45">
      <c r="A24" s="264" t="s">
        <v>561</v>
      </c>
      <c r="B24" s="816" t="s">
        <v>1210</v>
      </c>
      <c r="C24" s="816">
        <v>849467</v>
      </c>
      <c r="D24" s="816">
        <v>0</v>
      </c>
      <c r="E24" s="816">
        <v>0</v>
      </c>
      <c r="F24" s="816">
        <v>0</v>
      </c>
      <c r="G24" s="816">
        <v>849467</v>
      </c>
      <c r="H24" s="817" t="s">
        <v>1243</v>
      </c>
      <c r="L24" s="522"/>
    </row>
    <row r="25" spans="1:12">
      <c r="A25" s="278" t="s">
        <v>562</v>
      </c>
      <c r="B25" s="816" t="s">
        <v>1211</v>
      </c>
      <c r="C25" s="816">
        <v>1877516</v>
      </c>
      <c r="D25" s="816">
        <v>0</v>
      </c>
      <c r="E25" s="816">
        <v>0</v>
      </c>
      <c r="F25" s="822">
        <v>0</v>
      </c>
      <c r="G25" s="816">
        <v>1877516</v>
      </c>
      <c r="H25" s="817" t="s">
        <v>1244</v>
      </c>
    </row>
    <row r="26" spans="1:12">
      <c r="A26" s="278" t="s">
        <v>563</v>
      </c>
      <c r="B26" s="816" t="s">
        <v>1212</v>
      </c>
      <c r="C26" s="816">
        <v>1247830</v>
      </c>
      <c r="D26" s="816">
        <v>0</v>
      </c>
      <c r="E26" s="816">
        <v>0</v>
      </c>
      <c r="F26" s="816">
        <v>0</v>
      </c>
      <c r="G26" s="816">
        <v>1247830</v>
      </c>
      <c r="H26" s="817" t="s">
        <v>1245</v>
      </c>
    </row>
    <row r="27" spans="1:12">
      <c r="A27" s="278" t="s">
        <v>564</v>
      </c>
      <c r="B27" s="816" t="s">
        <v>1213</v>
      </c>
      <c r="C27" s="816">
        <v>0</v>
      </c>
      <c r="D27" s="816">
        <v>0</v>
      </c>
      <c r="E27" s="816">
        <v>0</v>
      </c>
      <c r="F27" s="816">
        <v>0</v>
      </c>
      <c r="G27" s="816">
        <v>0</v>
      </c>
      <c r="H27" s="817" t="s">
        <v>1246</v>
      </c>
    </row>
    <row r="28" spans="1:12" ht="30">
      <c r="A28" s="278" t="s">
        <v>565</v>
      </c>
      <c r="B28" s="816" t="s">
        <v>1214</v>
      </c>
      <c r="C28" s="816">
        <v>13778093</v>
      </c>
      <c r="D28" s="816">
        <v>13778092</v>
      </c>
      <c r="E28" s="816">
        <v>0</v>
      </c>
      <c r="F28" s="816">
        <v>0</v>
      </c>
      <c r="G28" s="816">
        <v>0</v>
      </c>
      <c r="H28" s="817" t="s">
        <v>1247</v>
      </c>
    </row>
    <row r="29" spans="1:12">
      <c r="A29" s="278" t="s">
        <v>566</v>
      </c>
      <c r="B29" s="816" t="s">
        <v>1215</v>
      </c>
      <c r="C29" s="816">
        <v>1570195</v>
      </c>
      <c r="D29" s="816">
        <v>1570195</v>
      </c>
      <c r="E29" s="816">
        <v>0</v>
      </c>
      <c r="F29" s="816">
        <v>0</v>
      </c>
      <c r="G29" s="816">
        <v>0</v>
      </c>
      <c r="H29" s="817" t="s">
        <v>1246</v>
      </c>
    </row>
    <row r="30" spans="1:12">
      <c r="A30" s="278" t="s">
        <v>567</v>
      </c>
      <c r="B30" s="816" t="s">
        <v>1216</v>
      </c>
      <c r="C30" s="816">
        <v>158593</v>
      </c>
      <c r="D30" s="816">
        <v>158593</v>
      </c>
      <c r="E30" s="823">
        <v>0</v>
      </c>
      <c r="F30" s="822">
        <v>0</v>
      </c>
      <c r="G30" s="823">
        <v>0</v>
      </c>
      <c r="H30" s="817" t="s">
        <v>1246</v>
      </c>
    </row>
    <row r="31" spans="1:12" ht="30">
      <c r="A31" s="278" t="s">
        <v>568</v>
      </c>
      <c r="B31" s="816" t="s">
        <v>1217</v>
      </c>
      <c r="C31" s="816">
        <v>2077910</v>
      </c>
      <c r="D31" s="816">
        <v>0</v>
      </c>
      <c r="E31" s="816">
        <v>0</v>
      </c>
      <c r="F31" s="816">
        <v>0</v>
      </c>
      <c r="G31" s="816">
        <v>2077910</v>
      </c>
      <c r="H31" s="817" t="s">
        <v>1248</v>
      </c>
    </row>
    <row r="32" spans="1:12">
      <c r="A32" s="278" t="s">
        <v>569</v>
      </c>
      <c r="B32" s="816" t="s">
        <v>1294</v>
      </c>
      <c r="C32" s="816">
        <v>220916</v>
      </c>
      <c r="D32" s="816">
        <v>220916</v>
      </c>
      <c r="E32" s="823">
        <v>0</v>
      </c>
      <c r="F32" s="823">
        <v>0</v>
      </c>
      <c r="G32" s="816">
        <v>0</v>
      </c>
      <c r="H32" s="817" t="s">
        <v>1246</v>
      </c>
    </row>
    <row r="33" spans="1:13">
      <c r="A33" s="278" t="s">
        <v>570</v>
      </c>
      <c r="B33" s="816" t="s">
        <v>1219</v>
      </c>
      <c r="C33" s="816">
        <v>207942</v>
      </c>
      <c r="D33" s="816">
        <v>0</v>
      </c>
      <c r="E33" s="816">
        <v>0</v>
      </c>
      <c r="F33" s="816">
        <v>0</v>
      </c>
      <c r="G33" s="816">
        <v>207942</v>
      </c>
      <c r="H33" s="819" t="s">
        <v>1249</v>
      </c>
    </row>
    <row r="34" spans="1:13">
      <c r="A34" s="278" t="s">
        <v>571</v>
      </c>
      <c r="B34" s="816" t="s">
        <v>1295</v>
      </c>
      <c r="C34" s="816">
        <v>1141418.7879999999</v>
      </c>
      <c r="D34" s="816">
        <v>0</v>
      </c>
      <c r="E34" s="816">
        <v>0</v>
      </c>
      <c r="F34" s="816">
        <v>1141418.7879999999</v>
      </c>
      <c r="G34" s="816">
        <v>0</v>
      </c>
      <c r="H34" s="819" t="s">
        <v>1173</v>
      </c>
    </row>
    <row r="35" spans="1:13">
      <c r="A35" s="278" t="s">
        <v>572</v>
      </c>
      <c r="B35" s="816" t="s">
        <v>1220</v>
      </c>
      <c r="C35" s="816">
        <v>0</v>
      </c>
      <c r="D35" s="816">
        <v>0</v>
      </c>
      <c r="E35" s="816">
        <v>0</v>
      </c>
      <c r="F35" s="816">
        <v>0</v>
      </c>
      <c r="G35" s="816">
        <v>0</v>
      </c>
      <c r="H35" s="817" t="s">
        <v>1250</v>
      </c>
    </row>
    <row r="36" spans="1:13">
      <c r="A36" s="278" t="s">
        <v>573</v>
      </c>
      <c r="B36" s="816" t="s">
        <v>1221</v>
      </c>
      <c r="C36" s="816">
        <v>9573744</v>
      </c>
      <c r="D36" s="816">
        <v>9573744</v>
      </c>
      <c r="E36" s="816">
        <v>0</v>
      </c>
      <c r="F36" s="816">
        <v>0</v>
      </c>
      <c r="G36" s="816">
        <v>0</v>
      </c>
      <c r="H36" s="817" t="s">
        <v>1246</v>
      </c>
    </row>
    <row r="37" spans="1:13">
      <c r="A37" s="278" t="s">
        <v>574</v>
      </c>
      <c r="B37" s="816" t="s">
        <v>1222</v>
      </c>
      <c r="C37" s="816">
        <v>9947772</v>
      </c>
      <c r="D37" s="816">
        <v>0</v>
      </c>
      <c r="E37" s="816">
        <v>0</v>
      </c>
      <c r="F37" s="816">
        <v>0</v>
      </c>
      <c r="G37" s="816">
        <v>9947772</v>
      </c>
      <c r="H37" s="817" t="s">
        <v>1251</v>
      </c>
    </row>
    <row r="38" spans="1:13">
      <c r="A38" s="278" t="s">
        <v>575</v>
      </c>
      <c r="B38" s="816" t="s">
        <v>1223</v>
      </c>
      <c r="C38" s="816">
        <v>0</v>
      </c>
      <c r="D38" s="816">
        <v>0</v>
      </c>
      <c r="E38" s="816">
        <v>0</v>
      </c>
      <c r="F38" s="816">
        <v>0</v>
      </c>
      <c r="G38" s="816">
        <v>0</v>
      </c>
      <c r="H38" s="817" t="s">
        <v>1252</v>
      </c>
    </row>
    <row r="39" spans="1:13">
      <c r="A39" s="278" t="s">
        <v>576</v>
      </c>
      <c r="B39" s="816" t="s">
        <v>1224</v>
      </c>
      <c r="C39" s="816">
        <v>0</v>
      </c>
      <c r="D39" s="816">
        <v>0</v>
      </c>
      <c r="E39" s="816">
        <v>0</v>
      </c>
      <c r="F39" s="816">
        <v>0</v>
      </c>
      <c r="G39" s="816">
        <v>0</v>
      </c>
      <c r="H39" s="817" t="s">
        <v>1246</v>
      </c>
    </row>
    <row r="40" spans="1:13">
      <c r="A40" s="278" t="s">
        <v>577</v>
      </c>
      <c r="B40" s="816" t="s">
        <v>1225</v>
      </c>
      <c r="C40" s="816">
        <v>1153652</v>
      </c>
      <c r="D40" s="816">
        <v>1153652</v>
      </c>
      <c r="E40" s="816">
        <v>0</v>
      </c>
      <c r="F40" s="816">
        <v>0</v>
      </c>
      <c r="G40" s="816">
        <v>0</v>
      </c>
      <c r="H40" s="817" t="s">
        <v>1246</v>
      </c>
    </row>
    <row r="41" spans="1:13">
      <c r="A41" s="278" t="s">
        <v>578</v>
      </c>
      <c r="B41" s="816" t="s">
        <v>1226</v>
      </c>
      <c r="C41" s="816">
        <v>429796</v>
      </c>
      <c r="D41" s="816">
        <v>429796</v>
      </c>
      <c r="E41" s="816">
        <v>0</v>
      </c>
      <c r="F41" s="816">
        <v>0</v>
      </c>
      <c r="G41" s="816">
        <v>0</v>
      </c>
      <c r="H41" s="819" t="s">
        <v>1246</v>
      </c>
    </row>
    <row r="42" spans="1:13">
      <c r="A42" s="278" t="s">
        <v>579</v>
      </c>
      <c r="B42" s="816" t="s">
        <v>1227</v>
      </c>
      <c r="C42" s="816">
        <v>0.29473415540996939</v>
      </c>
      <c r="D42" s="816">
        <v>0.29473415540996939</v>
      </c>
      <c r="E42" s="816">
        <v>0</v>
      </c>
      <c r="F42" s="816">
        <v>0</v>
      </c>
      <c r="G42" s="816">
        <v>0</v>
      </c>
      <c r="H42" s="819"/>
    </row>
    <row r="43" spans="1:13">
      <c r="A43" s="278" t="s">
        <v>580</v>
      </c>
      <c r="B43" s="816" t="s">
        <v>1228</v>
      </c>
      <c r="C43" s="816">
        <v>10793.705265844565</v>
      </c>
      <c r="D43" s="816">
        <v>0</v>
      </c>
      <c r="E43" s="816">
        <v>0</v>
      </c>
      <c r="F43" s="816">
        <v>10793.705265844565</v>
      </c>
      <c r="G43" s="816">
        <v>0</v>
      </c>
      <c r="H43" s="819" t="s">
        <v>1253</v>
      </c>
    </row>
    <row r="44" spans="1:13">
      <c r="A44" s="278" t="s">
        <v>581</v>
      </c>
      <c r="B44" s="816" t="s">
        <v>1229</v>
      </c>
      <c r="C44" s="816">
        <v>192052</v>
      </c>
      <c r="D44" s="816">
        <v>192052</v>
      </c>
      <c r="E44" s="816">
        <v>0</v>
      </c>
      <c r="F44" s="816">
        <v>0</v>
      </c>
      <c r="G44" s="816">
        <v>0</v>
      </c>
      <c r="H44" s="819" t="s">
        <v>1246</v>
      </c>
    </row>
    <row r="45" spans="1:13">
      <c r="A45" s="278" t="s">
        <v>582</v>
      </c>
      <c r="B45" s="816" t="s">
        <v>1230</v>
      </c>
      <c r="C45" s="816">
        <v>83758</v>
      </c>
      <c r="D45" s="816">
        <v>0</v>
      </c>
      <c r="E45" s="816">
        <v>0</v>
      </c>
      <c r="F45" s="816">
        <v>83758</v>
      </c>
      <c r="G45" s="816">
        <v>0</v>
      </c>
      <c r="H45" s="819" t="s">
        <v>1254</v>
      </c>
    </row>
    <row r="46" spans="1:13">
      <c r="A46" s="278" t="s">
        <v>583</v>
      </c>
      <c r="B46" s="816" t="s">
        <v>1231</v>
      </c>
      <c r="C46" s="816">
        <v>265981</v>
      </c>
      <c r="D46" s="816">
        <v>0</v>
      </c>
      <c r="E46" s="816">
        <v>0</v>
      </c>
      <c r="F46" s="816">
        <v>265981</v>
      </c>
      <c r="G46" s="818">
        <v>0</v>
      </c>
      <c r="H46" s="819" t="s">
        <v>1255</v>
      </c>
    </row>
    <row r="47" spans="1:13">
      <c r="A47" s="278" t="s">
        <v>584</v>
      </c>
      <c r="B47" s="816" t="s">
        <v>1296</v>
      </c>
      <c r="C47" s="816">
        <v>626979</v>
      </c>
      <c r="D47" s="816">
        <v>0</v>
      </c>
      <c r="E47" s="824">
        <v>0</v>
      </c>
      <c r="F47" s="824">
        <v>0</v>
      </c>
      <c r="G47" s="816">
        <v>626979</v>
      </c>
      <c r="H47" s="819" t="s">
        <v>1172</v>
      </c>
    </row>
    <row r="48" spans="1:13">
      <c r="A48" s="278" t="s">
        <v>585</v>
      </c>
      <c r="B48" s="816" t="s">
        <v>1297</v>
      </c>
      <c r="C48" s="816">
        <v>6078222.2400000002</v>
      </c>
      <c r="D48" s="824">
        <v>0</v>
      </c>
      <c r="E48" s="824">
        <v>0</v>
      </c>
      <c r="F48" s="824">
        <v>6078222.2400000002</v>
      </c>
      <c r="G48" s="818">
        <v>0</v>
      </c>
      <c r="H48" s="819" t="s">
        <v>1173</v>
      </c>
      <c r="M48" s="522"/>
    </row>
    <row r="49" spans="1:10" ht="30">
      <c r="A49" s="278" t="s">
        <v>586</v>
      </c>
      <c r="B49" s="816" t="s">
        <v>1232</v>
      </c>
      <c r="C49" s="816">
        <v>0</v>
      </c>
      <c r="D49" s="816">
        <v>0</v>
      </c>
      <c r="E49" s="824">
        <v>0</v>
      </c>
      <c r="F49" s="824">
        <v>0</v>
      </c>
      <c r="G49" s="818">
        <v>0</v>
      </c>
      <c r="H49" s="819" t="s">
        <v>1256</v>
      </c>
    </row>
    <row r="50" spans="1:10">
      <c r="A50" s="278" t="s">
        <v>587</v>
      </c>
      <c r="B50" s="816" t="s">
        <v>1233</v>
      </c>
      <c r="C50" s="816">
        <v>0</v>
      </c>
      <c r="D50" s="816">
        <v>0</v>
      </c>
      <c r="E50" s="824">
        <v>0</v>
      </c>
      <c r="F50" s="824">
        <v>0</v>
      </c>
      <c r="G50" s="816">
        <v>0</v>
      </c>
      <c r="H50" s="819" t="s">
        <v>1246</v>
      </c>
    </row>
    <row r="51" spans="1:10" ht="30">
      <c r="A51" s="278" t="s">
        <v>588</v>
      </c>
      <c r="B51" s="816" t="s">
        <v>1234</v>
      </c>
      <c r="C51" s="816">
        <v>77957835</v>
      </c>
      <c r="D51" s="816">
        <v>0</v>
      </c>
      <c r="E51" s="824">
        <v>0</v>
      </c>
      <c r="F51" s="816">
        <v>0</v>
      </c>
      <c r="G51" s="818">
        <v>77957835</v>
      </c>
      <c r="H51" s="819" t="s">
        <v>1257</v>
      </c>
    </row>
    <row r="52" spans="1:10" ht="30">
      <c r="A52" s="278" t="s">
        <v>589</v>
      </c>
      <c r="B52" s="816" t="s">
        <v>1235</v>
      </c>
      <c r="C52" s="816">
        <v>0</v>
      </c>
      <c r="D52" s="816">
        <v>0</v>
      </c>
      <c r="E52" s="816">
        <v>0</v>
      </c>
      <c r="F52" s="816">
        <v>0</v>
      </c>
      <c r="G52" s="816">
        <v>0</v>
      </c>
      <c r="H52" s="819" t="s">
        <v>1258</v>
      </c>
    </row>
    <row r="53" spans="1:10">
      <c r="A53" s="278" t="s">
        <v>590</v>
      </c>
      <c r="B53" s="816" t="s">
        <v>1236</v>
      </c>
      <c r="C53" s="816">
        <v>3827688</v>
      </c>
      <c r="D53" s="816">
        <v>3827688</v>
      </c>
      <c r="E53" s="816">
        <v>0</v>
      </c>
      <c r="F53" s="816">
        <v>0</v>
      </c>
      <c r="G53" s="816">
        <v>0</v>
      </c>
      <c r="H53" s="817" t="s">
        <v>1259</v>
      </c>
    </row>
    <row r="54" spans="1:10">
      <c r="A54" s="278" t="s">
        <v>591</v>
      </c>
      <c r="B54" s="816" t="s">
        <v>1237</v>
      </c>
      <c r="C54" s="816">
        <v>0</v>
      </c>
      <c r="D54" s="816">
        <v>0</v>
      </c>
      <c r="E54" s="824">
        <v>0</v>
      </c>
      <c r="F54" s="816">
        <v>0</v>
      </c>
      <c r="G54" s="818">
        <v>0</v>
      </c>
      <c r="H54" s="817" t="s">
        <v>1259</v>
      </c>
    </row>
    <row r="55" spans="1:10">
      <c r="A55" s="278" t="s">
        <v>592</v>
      </c>
      <c r="B55" s="816" t="s">
        <v>1238</v>
      </c>
      <c r="C55" s="816">
        <v>0</v>
      </c>
      <c r="D55" s="816">
        <v>0</v>
      </c>
      <c r="E55" s="816">
        <v>0</v>
      </c>
      <c r="F55" s="816">
        <v>0</v>
      </c>
      <c r="G55" s="816">
        <v>0</v>
      </c>
      <c r="H55" s="817" t="s">
        <v>1260</v>
      </c>
    </row>
    <row r="56" spans="1:10">
      <c r="A56" s="278" t="s">
        <v>593</v>
      </c>
      <c r="B56" s="816" t="s">
        <v>1239</v>
      </c>
      <c r="C56" s="816">
        <v>61677</v>
      </c>
      <c r="D56" s="816">
        <v>0</v>
      </c>
      <c r="E56" s="824">
        <v>0</v>
      </c>
      <c r="F56" s="816">
        <v>0</v>
      </c>
      <c r="G56" s="818">
        <v>61677</v>
      </c>
      <c r="H56" s="817" t="s">
        <v>1261</v>
      </c>
    </row>
    <row r="57" spans="1:10" ht="15" customHeight="1">
      <c r="A57" s="278" t="s">
        <v>594</v>
      </c>
      <c r="B57" s="816" t="s">
        <v>1240</v>
      </c>
      <c r="C57" s="816">
        <v>1004916</v>
      </c>
      <c r="D57" s="816">
        <v>0</v>
      </c>
      <c r="E57" s="824">
        <v>0</v>
      </c>
      <c r="F57" s="816">
        <v>0</v>
      </c>
      <c r="G57" s="818">
        <v>1004916</v>
      </c>
      <c r="H57" s="817" t="s">
        <v>1262</v>
      </c>
    </row>
    <row r="58" spans="1:10" ht="15" customHeight="1">
      <c r="A58" s="278" t="s">
        <v>595</v>
      </c>
      <c r="B58" s="816" t="s">
        <v>1241</v>
      </c>
      <c r="C58" s="816">
        <v>1560924</v>
      </c>
      <c r="D58" s="816">
        <v>1560924</v>
      </c>
      <c r="E58" s="816">
        <v>0</v>
      </c>
      <c r="F58" s="816">
        <v>0</v>
      </c>
      <c r="G58" s="816">
        <v>0</v>
      </c>
      <c r="H58" s="817" t="s">
        <v>1246</v>
      </c>
    </row>
    <row r="59" spans="1:10" ht="15" customHeight="1">
      <c r="A59" s="278" t="s">
        <v>596</v>
      </c>
      <c r="B59" s="816" t="s">
        <v>1242</v>
      </c>
      <c r="C59" s="816">
        <v>10806431</v>
      </c>
      <c r="D59" s="816">
        <v>0</v>
      </c>
      <c r="E59" s="816">
        <v>0</v>
      </c>
      <c r="F59" s="822">
        <v>0</v>
      </c>
      <c r="G59" s="816">
        <v>10806431</v>
      </c>
      <c r="H59" s="817" t="s">
        <v>1263</v>
      </c>
    </row>
    <row r="60" spans="1:10" ht="15" customHeight="1">
      <c r="A60" s="278" t="s">
        <v>597</v>
      </c>
      <c r="B60" s="816"/>
      <c r="C60" s="816"/>
      <c r="D60" s="816"/>
      <c r="E60" s="816"/>
      <c r="F60" s="816"/>
      <c r="G60" s="818"/>
      <c r="H60" s="817"/>
    </row>
    <row r="61" spans="1:10">
      <c r="A61" s="278" t="s">
        <v>316</v>
      </c>
      <c r="B61" s="821"/>
      <c r="C61" s="816">
        <v>0</v>
      </c>
      <c r="D61" s="816"/>
      <c r="E61" s="816"/>
      <c r="F61" s="816"/>
      <c r="G61" s="816"/>
      <c r="H61" s="820"/>
    </row>
    <row r="62" spans="1:10">
      <c r="A62" s="278">
        <v>2</v>
      </c>
      <c r="B62" s="811" t="s">
        <v>1057</v>
      </c>
      <c r="C62" s="810">
        <f>SUM(C24:C61)</f>
        <v>146712102.028</v>
      </c>
      <c r="D62" s="810">
        <f>SUM(D24:D61)</f>
        <v>32465652.294734154</v>
      </c>
      <c r="E62" s="810">
        <f>SUM(E24:E61)</f>
        <v>0</v>
      </c>
      <c r="F62" s="810">
        <f>SUM(F24:F61)</f>
        <v>7580173.7332658451</v>
      </c>
      <c r="G62" s="810">
        <f>SUM(G24:G61)</f>
        <v>106666275</v>
      </c>
      <c r="H62" s="838"/>
      <c r="J62" s="509"/>
    </row>
    <row r="63" spans="1:10">
      <c r="A63" s="278">
        <v>3</v>
      </c>
      <c r="B63" s="811" t="s">
        <v>598</v>
      </c>
      <c r="C63" s="816">
        <v>-39114758.193900004</v>
      </c>
      <c r="D63" s="816">
        <v>7248646.0819999995</v>
      </c>
      <c r="E63" s="816">
        <v>0</v>
      </c>
      <c r="F63" s="816">
        <v>159502.72409999999</v>
      </c>
      <c r="G63" s="816">
        <v>-46522907</v>
      </c>
      <c r="H63" s="820" t="s">
        <v>1167</v>
      </c>
    </row>
    <row r="64" spans="1:10">
      <c r="A64" s="278">
        <v>4</v>
      </c>
      <c r="B64" s="811" t="s">
        <v>599</v>
      </c>
      <c r="C64" s="816"/>
      <c r="D64" s="816"/>
      <c r="E64" s="816"/>
      <c r="F64" s="816"/>
      <c r="G64" s="816"/>
      <c r="H64" s="820"/>
    </row>
    <row r="65" spans="1:8">
      <c r="A65" s="264">
        <v>5</v>
      </c>
      <c r="B65" s="811" t="s">
        <v>13</v>
      </c>
      <c r="C65" s="810">
        <f>+C62-C63-C64</f>
        <v>185826860.22189999</v>
      </c>
      <c r="D65" s="810">
        <f>+D62-D63-D64</f>
        <v>25217006.212734155</v>
      </c>
      <c r="E65" s="810">
        <f>+E62-E63-E64</f>
        <v>0</v>
      </c>
      <c r="F65" s="810">
        <f>+F62-F63-F64</f>
        <v>7420671.0091658449</v>
      </c>
      <c r="G65" s="810">
        <f>+G62-G63-G64</f>
        <v>153189182</v>
      </c>
      <c r="H65" s="838"/>
    </row>
    <row r="66" spans="1:8">
      <c r="B66" s="282"/>
      <c r="C66" s="962"/>
      <c r="D66" s="962"/>
      <c r="E66" s="962"/>
      <c r="F66" s="962"/>
      <c r="G66" s="962"/>
      <c r="H66" s="777"/>
    </row>
    <row r="67" spans="1:8">
      <c r="A67" s="278">
        <v>6</v>
      </c>
      <c r="B67" s="286" t="s">
        <v>600</v>
      </c>
      <c r="C67" s="287"/>
      <c r="D67" s="288"/>
      <c r="E67" s="288"/>
      <c r="F67" s="288"/>
      <c r="G67" s="289"/>
      <c r="H67" s="778"/>
    </row>
    <row r="68" spans="1:8">
      <c r="A68" s="278">
        <v>7</v>
      </c>
      <c r="B68" s="291" t="s">
        <v>601</v>
      </c>
      <c r="C68" s="269"/>
      <c r="D68" s="269"/>
      <c r="E68" s="269"/>
      <c r="F68" s="269"/>
      <c r="G68" s="269"/>
      <c r="H68" s="779"/>
    </row>
    <row r="69" spans="1:8">
      <c r="A69" s="278">
        <v>8</v>
      </c>
      <c r="B69" s="291" t="s">
        <v>602</v>
      </c>
      <c r="C69" s="292"/>
      <c r="D69" s="269"/>
      <c r="E69" s="269"/>
      <c r="F69" s="269"/>
      <c r="G69" s="284"/>
      <c r="H69" s="780"/>
    </row>
    <row r="70" spans="1:8">
      <c r="A70" s="278">
        <v>9</v>
      </c>
      <c r="B70" s="291" t="s">
        <v>603</v>
      </c>
      <c r="C70" s="292"/>
      <c r="D70" s="269"/>
      <c r="E70" s="269"/>
      <c r="F70" s="269"/>
      <c r="G70" s="284"/>
      <c r="H70" s="780"/>
    </row>
    <row r="71" spans="1:8">
      <c r="A71" s="278">
        <v>10</v>
      </c>
      <c r="B71" s="291" t="s">
        <v>604</v>
      </c>
      <c r="C71" s="292"/>
      <c r="D71" s="269"/>
      <c r="E71" s="269"/>
      <c r="F71" s="269"/>
      <c r="G71" s="284"/>
      <c r="H71" s="780"/>
    </row>
    <row r="72" spans="1:8">
      <c r="A72" s="278">
        <v>11</v>
      </c>
      <c r="B72" s="511" t="s">
        <v>605</v>
      </c>
      <c r="C72" s="269"/>
      <c r="D72" s="269"/>
      <c r="E72" s="269"/>
      <c r="F72" s="269"/>
      <c r="G72" s="269"/>
      <c r="H72" s="779"/>
    </row>
    <row r="73" spans="1:8">
      <c r="A73" s="278">
        <v>12</v>
      </c>
      <c r="B73" s="512" t="s">
        <v>606</v>
      </c>
      <c r="C73" s="269"/>
      <c r="D73" s="269"/>
      <c r="E73" s="269"/>
      <c r="F73" s="269"/>
      <c r="G73" s="269"/>
      <c r="H73" s="779"/>
    </row>
    <row r="74" spans="1:8">
      <c r="B74" s="294"/>
      <c r="C74" s="295"/>
      <c r="D74" s="296"/>
      <c r="E74" s="296"/>
      <c r="F74" s="296"/>
      <c r="G74" s="297"/>
      <c r="H74" s="781"/>
    </row>
    <row r="75" spans="1:8">
      <c r="B75" s="1003" t="str">
        <f>'4A - ADIT Summary'!$G$65</f>
        <v>PECO Energy Company</v>
      </c>
      <c r="C75" s="1004"/>
      <c r="D75" s="1004"/>
      <c r="E75" s="1004"/>
      <c r="F75" s="1004"/>
      <c r="G75" s="1004"/>
      <c r="H75" s="1004"/>
    </row>
    <row r="76" spans="1:8" ht="15.75">
      <c r="B76" s="267" t="s">
        <v>646</v>
      </c>
      <c r="C76" s="267"/>
      <c r="D76" s="267"/>
      <c r="E76" s="267"/>
      <c r="F76" s="267" t="s">
        <v>2</v>
      </c>
      <c r="G76" s="267"/>
      <c r="H76" s="768"/>
    </row>
    <row r="77" spans="1:8">
      <c r="B77" s="267"/>
      <c r="C77" s="300"/>
      <c r="D77" s="513"/>
      <c r="E77" s="513"/>
      <c r="F77" s="513"/>
      <c r="G77" s="513"/>
      <c r="H77" s="782"/>
    </row>
    <row r="78" spans="1:8">
      <c r="B78" s="299"/>
      <c r="C78" s="300"/>
      <c r="D78" s="513"/>
      <c r="E78" s="513"/>
      <c r="F78" s="513"/>
      <c r="G78" s="513"/>
      <c r="H78" s="769" t="s">
        <v>646</v>
      </c>
    </row>
    <row r="79" spans="1:8">
      <c r="B79" s="299"/>
      <c r="C79" s="300"/>
      <c r="D79" s="513"/>
      <c r="E79" s="513"/>
      <c r="F79" s="513"/>
      <c r="G79" s="513"/>
      <c r="H79" s="769" t="s">
        <v>607</v>
      </c>
    </row>
    <row r="80" spans="1:8">
      <c r="B80" s="299"/>
      <c r="C80" s="300"/>
      <c r="D80" s="513"/>
      <c r="E80" s="513"/>
      <c r="F80" s="513"/>
      <c r="G80" s="513"/>
      <c r="H80" s="770"/>
    </row>
    <row r="81" spans="1:8">
      <c r="B81" s="267"/>
      <c r="C81" s="269"/>
      <c r="D81" s="269"/>
      <c r="E81" s="269"/>
      <c r="F81" s="269"/>
      <c r="G81" s="269"/>
      <c r="H81" s="783"/>
    </row>
    <row r="82" spans="1:8">
      <c r="B82" s="267"/>
      <c r="C82" s="269"/>
      <c r="D82" s="269"/>
      <c r="E82" s="269"/>
      <c r="F82" s="269"/>
      <c r="G82" s="269"/>
      <c r="H82" s="783"/>
    </row>
    <row r="83" spans="1:8">
      <c r="B83" s="299" t="s">
        <v>63</v>
      </c>
      <c r="C83" s="503" t="s">
        <v>64</v>
      </c>
      <c r="D83" s="300" t="s">
        <v>65</v>
      </c>
      <c r="E83" s="300" t="s">
        <v>66</v>
      </c>
      <c r="F83" s="300" t="s">
        <v>67</v>
      </c>
      <c r="G83" s="300" t="s">
        <v>68</v>
      </c>
      <c r="H83" s="784" t="s">
        <v>69</v>
      </c>
    </row>
    <row r="84" spans="1:8">
      <c r="B84" s="268" t="s">
        <v>524</v>
      </c>
      <c r="C84" s="276" t="s">
        <v>13</v>
      </c>
      <c r="D84" s="276" t="s">
        <v>555</v>
      </c>
      <c r="E84" s="265" t="s">
        <v>543</v>
      </c>
      <c r="F84" s="265"/>
      <c r="G84" s="265"/>
      <c r="H84" s="770"/>
    </row>
    <row r="85" spans="1:8">
      <c r="B85" s="301"/>
      <c r="C85" s="276"/>
      <c r="D85" s="276" t="s">
        <v>556</v>
      </c>
      <c r="E85" s="265" t="s">
        <v>17</v>
      </c>
      <c r="F85" s="265" t="s">
        <v>557</v>
      </c>
      <c r="G85" s="265" t="s">
        <v>509</v>
      </c>
      <c r="H85" s="770"/>
    </row>
    <row r="86" spans="1:8">
      <c r="B86" s="319"/>
      <c r="C86" s="320"/>
      <c r="D86" s="276" t="s">
        <v>517</v>
      </c>
      <c r="E86" s="265" t="s">
        <v>517</v>
      </c>
      <c r="F86" s="265" t="s">
        <v>517</v>
      </c>
      <c r="G86" s="265" t="s">
        <v>517</v>
      </c>
      <c r="H86" s="783" t="s">
        <v>558</v>
      </c>
    </row>
    <row r="87" spans="1:8">
      <c r="B87" s="267"/>
      <c r="C87" s="302"/>
      <c r="D87" s="269"/>
      <c r="E87" s="269"/>
      <c r="F87" s="269"/>
      <c r="G87" s="269"/>
      <c r="H87" s="770"/>
    </row>
    <row r="88" spans="1:8">
      <c r="A88" s="264" t="s">
        <v>608</v>
      </c>
      <c r="B88" s="583" t="s">
        <v>1264</v>
      </c>
      <c r="C88" s="583">
        <v>0</v>
      </c>
      <c r="D88" s="575">
        <v>0</v>
      </c>
      <c r="E88" s="575">
        <v>0</v>
      </c>
      <c r="F88" s="575">
        <v>0</v>
      </c>
      <c r="G88" s="575">
        <v>0</v>
      </c>
      <c r="H88" s="577"/>
    </row>
    <row r="89" spans="1:8">
      <c r="A89" s="264" t="s">
        <v>609</v>
      </c>
      <c r="B89" s="583" t="s">
        <v>748</v>
      </c>
      <c r="C89" s="583">
        <v>-28709490</v>
      </c>
      <c r="D89" s="575">
        <v>0</v>
      </c>
      <c r="E89" s="575">
        <v>0</v>
      </c>
      <c r="F89" s="575">
        <v>0</v>
      </c>
      <c r="G89" s="575">
        <v>-28709490</v>
      </c>
      <c r="H89" s="577" t="s">
        <v>1265</v>
      </c>
    </row>
    <row r="90" spans="1:8">
      <c r="A90" s="264" t="s">
        <v>610</v>
      </c>
      <c r="B90" s="583" t="s">
        <v>858</v>
      </c>
      <c r="C90" s="583">
        <v>-1121038511</v>
      </c>
      <c r="D90" s="575">
        <v>-1121038511</v>
      </c>
      <c r="E90" s="575">
        <v>0</v>
      </c>
      <c r="F90" s="575">
        <v>0</v>
      </c>
      <c r="G90" s="575">
        <v>0</v>
      </c>
      <c r="H90" s="577" t="s">
        <v>1266</v>
      </c>
    </row>
    <row r="91" spans="1:8">
      <c r="A91" s="278" t="s">
        <v>611</v>
      </c>
      <c r="B91" s="583" t="s">
        <v>947</v>
      </c>
      <c r="C91" s="583">
        <v>-3411310</v>
      </c>
      <c r="D91" s="575">
        <v>0</v>
      </c>
      <c r="E91" s="575">
        <v>0</v>
      </c>
      <c r="F91" s="575">
        <v>0</v>
      </c>
      <c r="G91" s="575">
        <v>-3411310</v>
      </c>
      <c r="H91" s="577" t="s">
        <v>1265</v>
      </c>
    </row>
    <row r="92" spans="1:8">
      <c r="A92" s="278" t="s">
        <v>612</v>
      </c>
      <c r="B92" s="583" t="s">
        <v>17</v>
      </c>
      <c r="C92" s="583">
        <v>-213299037</v>
      </c>
      <c r="D92" s="575">
        <v>0</v>
      </c>
      <c r="E92" s="575">
        <v>-213299037</v>
      </c>
      <c r="F92" s="575">
        <v>0</v>
      </c>
      <c r="G92" s="575">
        <v>0</v>
      </c>
      <c r="H92" s="577" t="s">
        <v>1267</v>
      </c>
    </row>
    <row r="93" spans="1:8">
      <c r="A93" s="278" t="s">
        <v>613</v>
      </c>
      <c r="B93" s="583"/>
      <c r="C93" s="583"/>
      <c r="D93" s="575"/>
      <c r="E93" s="575"/>
      <c r="F93" s="575"/>
      <c r="G93" s="575"/>
      <c r="H93" s="580"/>
    </row>
    <row r="94" spans="1:8">
      <c r="A94" s="278" t="s">
        <v>614</v>
      </c>
      <c r="B94" s="583"/>
      <c r="C94" s="583">
        <v>0</v>
      </c>
      <c r="D94" s="575"/>
      <c r="E94" s="575"/>
      <c r="F94" s="575"/>
      <c r="G94" s="575"/>
      <c r="H94" s="580"/>
    </row>
    <row r="95" spans="1:8">
      <c r="A95" s="278" t="s">
        <v>615</v>
      </c>
      <c r="B95" s="583"/>
      <c r="C95" s="583"/>
      <c r="D95" s="575"/>
      <c r="E95" s="575"/>
      <c r="F95" s="575"/>
      <c r="G95" s="575"/>
      <c r="H95" s="580"/>
    </row>
    <row r="96" spans="1:8">
      <c r="A96" s="278" t="s">
        <v>316</v>
      </c>
      <c r="B96" s="583"/>
      <c r="C96" s="583"/>
      <c r="D96" s="575"/>
      <c r="E96" s="575"/>
      <c r="F96" s="575"/>
      <c r="G96" s="575"/>
      <c r="H96" s="580"/>
    </row>
    <row r="97" spans="1:8">
      <c r="A97" s="278">
        <v>14</v>
      </c>
      <c r="B97" s="280" t="s">
        <v>1059</v>
      </c>
      <c r="C97" s="279">
        <f>SUM(C88:C96)</f>
        <v>-1366458348</v>
      </c>
      <c r="D97" s="279">
        <f>SUM(D88:D96)</f>
        <v>-1121038511</v>
      </c>
      <c r="E97" s="279">
        <f>SUM(E88:E96)</f>
        <v>-213299037</v>
      </c>
      <c r="F97" s="279">
        <f>SUM(F88:F96)</f>
        <v>0</v>
      </c>
      <c r="G97" s="279">
        <f>SUM(G88:G96)</f>
        <v>-32120800</v>
      </c>
      <c r="H97" s="785"/>
    </row>
    <row r="98" spans="1:8">
      <c r="A98" s="278">
        <v>15</v>
      </c>
      <c r="B98" s="280" t="s">
        <v>598</v>
      </c>
      <c r="C98" s="808">
        <v>-148820113</v>
      </c>
      <c r="D98" s="808">
        <v>-203000120</v>
      </c>
      <c r="E98" s="808">
        <v>52941001</v>
      </c>
      <c r="F98" s="808">
        <v>0</v>
      </c>
      <c r="G98" s="808">
        <v>1239006</v>
      </c>
      <c r="H98" s="580"/>
    </row>
    <row r="99" spans="1:8">
      <c r="A99" s="278">
        <v>16</v>
      </c>
      <c r="B99" s="280" t="s">
        <v>599</v>
      </c>
      <c r="C99" s="808"/>
      <c r="D99" s="808"/>
      <c r="E99" s="808"/>
      <c r="F99" s="808"/>
      <c r="G99" s="808"/>
      <c r="H99" s="807"/>
    </row>
    <row r="100" spans="1:8">
      <c r="A100" s="278">
        <v>17</v>
      </c>
      <c r="B100" s="280" t="s">
        <v>13</v>
      </c>
      <c r="C100" s="806">
        <f>C97-C98-C99</f>
        <v>-1217638235</v>
      </c>
      <c r="D100" s="806">
        <f>+D97-D98-D99</f>
        <v>-918038391</v>
      </c>
      <c r="E100" s="806">
        <f>+E97-E98-E99</f>
        <v>-266240038</v>
      </c>
      <c r="F100" s="806">
        <f>+F97-F98-F99</f>
        <v>0</v>
      </c>
      <c r="G100" s="806">
        <f>+G97-G98-G99</f>
        <v>-33359806</v>
      </c>
      <c r="H100" s="805"/>
    </row>
    <row r="101" spans="1:8">
      <c r="B101" s="301"/>
      <c r="C101" s="303"/>
      <c r="D101" s="303"/>
      <c r="E101" s="303"/>
      <c r="F101" s="303"/>
      <c r="G101" s="269"/>
      <c r="H101" s="786"/>
    </row>
    <row r="102" spans="1:8" ht="15.75" thickBot="1">
      <c r="B102" s="301"/>
      <c r="C102" s="305"/>
      <c r="D102" s="269"/>
      <c r="E102" s="269"/>
      <c r="F102" s="269"/>
      <c r="G102" s="284"/>
      <c r="H102" s="787"/>
    </row>
    <row r="103" spans="1:8">
      <c r="A103" s="278">
        <v>18</v>
      </c>
      <c r="B103" s="307" t="s">
        <v>616</v>
      </c>
      <c r="C103" s="308"/>
      <c r="D103" s="309"/>
      <c r="E103" s="309"/>
      <c r="F103" s="309"/>
      <c r="G103" s="310"/>
      <c r="H103" s="788"/>
    </row>
    <row r="104" spans="1:8">
      <c r="A104" s="278">
        <v>19</v>
      </c>
      <c r="B104" s="291" t="s">
        <v>601</v>
      </c>
      <c r="C104" s="312"/>
      <c r="D104" s="513"/>
      <c r="E104" s="513"/>
      <c r="F104" s="513"/>
      <c r="G104" s="513"/>
      <c r="H104" s="518"/>
    </row>
    <row r="105" spans="1:8">
      <c r="A105" s="278">
        <v>20</v>
      </c>
      <c r="B105" s="291" t="s">
        <v>602</v>
      </c>
      <c r="C105" s="292"/>
      <c r="D105" s="269"/>
      <c r="E105" s="269"/>
      <c r="F105" s="269"/>
      <c r="G105" s="284"/>
      <c r="H105" s="789"/>
    </row>
    <row r="106" spans="1:8">
      <c r="A106" s="278">
        <v>21</v>
      </c>
      <c r="B106" s="291" t="s">
        <v>603</v>
      </c>
      <c r="C106" s="292"/>
      <c r="D106" s="269"/>
      <c r="E106" s="269"/>
      <c r="F106" s="269"/>
      <c r="G106" s="284"/>
      <c r="H106" s="789"/>
    </row>
    <row r="107" spans="1:8">
      <c r="A107" s="278">
        <v>22</v>
      </c>
      <c r="B107" s="291" t="s">
        <v>604</v>
      </c>
      <c r="C107" s="292"/>
      <c r="D107" s="269"/>
      <c r="E107" s="269"/>
      <c r="F107" s="269"/>
      <c r="G107" s="284"/>
      <c r="H107" s="789"/>
    </row>
    <row r="108" spans="1:8">
      <c r="A108" s="278">
        <v>23</v>
      </c>
      <c r="B108" s="511" t="s">
        <v>605</v>
      </c>
      <c r="C108" s="516"/>
      <c r="D108" s="517"/>
      <c r="E108" s="517"/>
      <c r="F108" s="517"/>
      <c r="G108" s="517"/>
      <c r="H108" s="518"/>
    </row>
    <row r="109" spans="1:8">
      <c r="A109" s="278">
        <v>24</v>
      </c>
      <c r="B109" s="512" t="s">
        <v>606</v>
      </c>
      <c r="C109" s="517"/>
      <c r="D109" s="517"/>
      <c r="E109" s="517"/>
      <c r="F109" s="517"/>
      <c r="G109" s="517"/>
      <c r="H109" s="518"/>
    </row>
    <row r="110" spans="1:8" ht="15.75" thickBot="1">
      <c r="B110" s="327"/>
      <c r="C110" s="314"/>
      <c r="D110" s="315"/>
      <c r="E110" s="315"/>
      <c r="F110" s="315"/>
      <c r="G110" s="316"/>
      <c r="H110" s="790"/>
    </row>
    <row r="111" spans="1:8">
      <c r="B111" s="1003" t="str">
        <f>'4A - ADIT Summary'!$G$65</f>
        <v>PECO Energy Company</v>
      </c>
      <c r="C111" s="1004"/>
      <c r="D111" s="1004"/>
      <c r="E111" s="1004"/>
      <c r="F111" s="1004"/>
      <c r="G111" s="1004"/>
      <c r="H111" s="1004"/>
    </row>
    <row r="112" spans="1:8" ht="15.75">
      <c r="B112" s="267" t="s">
        <v>646</v>
      </c>
      <c r="C112" s="267"/>
      <c r="D112" s="267"/>
      <c r="E112" s="267"/>
      <c r="F112" s="267"/>
      <c r="G112" s="267"/>
      <c r="H112" s="768"/>
    </row>
    <row r="113" spans="1:8">
      <c r="B113" s="267"/>
      <c r="C113" s="328"/>
      <c r="D113" s="328"/>
      <c r="E113" s="328"/>
      <c r="F113" s="328"/>
      <c r="G113" s="328"/>
      <c r="H113" s="782"/>
    </row>
    <row r="114" spans="1:8">
      <c r="B114" s="328"/>
      <c r="C114" s="328"/>
      <c r="D114" s="328"/>
      <c r="E114" s="328"/>
      <c r="F114" s="328"/>
      <c r="G114" s="328"/>
      <c r="H114" s="769" t="s">
        <v>646</v>
      </c>
    </row>
    <row r="115" spans="1:8">
      <c r="B115" s="328"/>
      <c r="C115" s="328"/>
      <c r="D115" s="328"/>
      <c r="E115" s="328"/>
      <c r="F115" s="328"/>
      <c r="G115" s="328"/>
      <c r="H115" s="769" t="s">
        <v>617</v>
      </c>
    </row>
    <row r="116" spans="1:8">
      <c r="B116" s="282"/>
      <c r="C116" s="283"/>
      <c r="D116" s="269"/>
      <c r="E116" s="269"/>
      <c r="F116" s="269"/>
      <c r="G116" s="284"/>
      <c r="H116" s="787"/>
    </row>
    <row r="117" spans="1:8">
      <c r="B117" s="299" t="s">
        <v>63</v>
      </c>
      <c r="C117" s="503" t="s">
        <v>64</v>
      </c>
      <c r="D117" s="300" t="s">
        <v>65</v>
      </c>
      <c r="E117" s="300" t="s">
        <v>66</v>
      </c>
      <c r="F117" s="300" t="s">
        <v>67</v>
      </c>
      <c r="G117" s="300" t="s">
        <v>68</v>
      </c>
      <c r="H117" s="784" t="s">
        <v>69</v>
      </c>
    </row>
    <row r="118" spans="1:8">
      <c r="B118" s="268" t="s">
        <v>530</v>
      </c>
      <c r="C118" s="276" t="s">
        <v>13</v>
      </c>
      <c r="D118" s="276" t="s">
        <v>555</v>
      </c>
      <c r="E118" s="265" t="s">
        <v>543</v>
      </c>
      <c r="F118" s="265"/>
      <c r="G118" s="265"/>
      <c r="H118" s="770"/>
    </row>
    <row r="119" spans="1:8">
      <c r="B119" s="267"/>
      <c r="C119" s="276"/>
      <c r="D119" s="276" t="s">
        <v>556</v>
      </c>
      <c r="E119" s="265" t="s">
        <v>17</v>
      </c>
      <c r="F119" s="265" t="s">
        <v>557</v>
      </c>
      <c r="G119" s="265" t="s">
        <v>509</v>
      </c>
      <c r="H119" s="770"/>
    </row>
    <row r="120" spans="1:8">
      <c r="B120" s="319"/>
      <c r="C120" s="320"/>
      <c r="D120" s="276" t="s">
        <v>517</v>
      </c>
      <c r="E120" s="265" t="s">
        <v>517</v>
      </c>
      <c r="F120" s="265" t="s">
        <v>517</v>
      </c>
      <c r="G120" s="265" t="s">
        <v>517</v>
      </c>
      <c r="H120" s="783" t="s">
        <v>558</v>
      </c>
    </row>
    <row r="121" spans="1:8">
      <c r="B121" s="319"/>
      <c r="C121" s="320"/>
      <c r="D121" s="269"/>
      <c r="E121" s="269"/>
      <c r="F121" s="269"/>
      <c r="G121" s="269"/>
      <c r="H121" s="517"/>
    </row>
    <row r="122" spans="1:8">
      <c r="B122" s="319"/>
      <c r="C122" s="320"/>
      <c r="D122" s="269"/>
      <c r="E122" s="269"/>
      <c r="F122" s="269"/>
      <c r="G122" s="269"/>
      <c r="H122" s="770"/>
    </row>
    <row r="123" spans="1:8">
      <c r="A123" s="278" t="s">
        <v>618</v>
      </c>
      <c r="B123" s="575" t="s">
        <v>1268</v>
      </c>
      <c r="C123" s="575">
        <v>-6674279.3204684099</v>
      </c>
      <c r="D123" s="575">
        <v>-6674279.3204684099</v>
      </c>
      <c r="E123" s="575">
        <v>0</v>
      </c>
      <c r="F123" s="575">
        <v>0</v>
      </c>
      <c r="G123" s="575">
        <v>0</v>
      </c>
      <c r="H123" s="577" t="s">
        <v>1259</v>
      </c>
    </row>
    <row r="124" spans="1:8">
      <c r="A124" s="278" t="s">
        <v>619</v>
      </c>
      <c r="B124" s="575" t="s">
        <v>1269</v>
      </c>
      <c r="C124" s="575">
        <v>-1172108</v>
      </c>
      <c r="D124" s="575">
        <v>-1172108</v>
      </c>
      <c r="E124" s="575">
        <v>0</v>
      </c>
      <c r="F124" s="575">
        <v>0</v>
      </c>
      <c r="G124" s="575">
        <v>0</v>
      </c>
      <c r="H124" s="577" t="s">
        <v>1259</v>
      </c>
    </row>
    <row r="125" spans="1:8">
      <c r="A125" s="278" t="s">
        <v>620</v>
      </c>
      <c r="B125" s="575" t="s">
        <v>1270</v>
      </c>
      <c r="C125" s="575">
        <v>-432825</v>
      </c>
      <c r="D125" s="575">
        <v>0</v>
      </c>
      <c r="E125" s="575">
        <v>0</v>
      </c>
      <c r="F125" s="575">
        <v>-432825</v>
      </c>
      <c r="G125" s="575">
        <v>0</v>
      </c>
      <c r="H125" s="577" t="s">
        <v>1271</v>
      </c>
    </row>
    <row r="126" spans="1:8">
      <c r="A126" s="278" t="s">
        <v>621</v>
      </c>
      <c r="B126" s="575" t="s">
        <v>1272</v>
      </c>
      <c r="C126" s="575">
        <v>-2105888.8736727112</v>
      </c>
      <c r="D126" s="575">
        <v>-2105888.8736727112</v>
      </c>
      <c r="E126" s="575">
        <v>0</v>
      </c>
      <c r="F126" s="575">
        <v>0</v>
      </c>
      <c r="G126" s="575">
        <v>0</v>
      </c>
      <c r="H126" s="577" t="s">
        <v>1259</v>
      </c>
    </row>
    <row r="127" spans="1:8">
      <c r="A127" s="278" t="s">
        <v>622</v>
      </c>
      <c r="B127" s="575" t="s">
        <v>1273</v>
      </c>
      <c r="C127" s="575">
        <v>0.33137688018905465</v>
      </c>
      <c r="D127" s="575">
        <v>0.33137688018905465</v>
      </c>
      <c r="E127" s="575">
        <v>0</v>
      </c>
      <c r="F127" s="575">
        <v>0</v>
      </c>
      <c r="G127" s="575">
        <v>0</v>
      </c>
      <c r="H127" s="577" t="s">
        <v>1259</v>
      </c>
    </row>
    <row r="128" spans="1:8">
      <c r="A128" s="278" t="s">
        <v>623</v>
      </c>
      <c r="B128" s="575" t="s">
        <v>1274</v>
      </c>
      <c r="C128" s="575">
        <v>-74577.10436783194</v>
      </c>
      <c r="D128" s="575">
        <v>-74577.10436783194</v>
      </c>
      <c r="E128" s="575">
        <v>0</v>
      </c>
      <c r="F128" s="575">
        <v>0</v>
      </c>
      <c r="G128" s="575">
        <v>0</v>
      </c>
      <c r="H128" s="577" t="s">
        <v>1259</v>
      </c>
    </row>
    <row r="129" spans="1:8">
      <c r="A129" s="278" t="s">
        <v>624</v>
      </c>
      <c r="B129" s="575" t="s">
        <v>1275</v>
      </c>
      <c r="C129" s="575">
        <v>-19564.345772842556</v>
      </c>
      <c r="D129" s="575">
        <v>-19564.345772842556</v>
      </c>
      <c r="E129" s="575">
        <v>0</v>
      </c>
      <c r="F129" s="575">
        <v>0</v>
      </c>
      <c r="G129" s="575">
        <v>0</v>
      </c>
      <c r="H129" s="577" t="s">
        <v>1259</v>
      </c>
    </row>
    <row r="130" spans="1:8">
      <c r="A130" s="278" t="s">
        <v>625</v>
      </c>
      <c r="B130" s="575" t="s">
        <v>1276</v>
      </c>
      <c r="C130" s="575">
        <v>-198976.38274163485</v>
      </c>
      <c r="D130" s="575">
        <v>-198976.38274163485</v>
      </c>
      <c r="E130" s="575">
        <v>0</v>
      </c>
      <c r="F130" s="575">
        <v>0</v>
      </c>
      <c r="G130" s="575">
        <v>0</v>
      </c>
      <c r="H130" s="577" t="s">
        <v>1259</v>
      </c>
    </row>
    <row r="131" spans="1:8">
      <c r="A131" s="278" t="s">
        <v>626</v>
      </c>
      <c r="B131" s="575" t="s">
        <v>1277</v>
      </c>
      <c r="C131" s="575">
        <v>-577496</v>
      </c>
      <c r="D131" s="575">
        <v>-577496</v>
      </c>
      <c r="E131" s="575">
        <v>0</v>
      </c>
      <c r="F131" s="575">
        <v>0</v>
      </c>
      <c r="G131" s="575">
        <v>0</v>
      </c>
      <c r="H131" s="577" t="s">
        <v>1259</v>
      </c>
    </row>
    <row r="132" spans="1:8">
      <c r="A132" s="278" t="s">
        <v>627</v>
      </c>
      <c r="B132" s="575" t="s">
        <v>1278</v>
      </c>
      <c r="C132" s="575">
        <v>0</v>
      </c>
      <c r="D132" s="575">
        <v>0</v>
      </c>
      <c r="E132" s="575">
        <v>0</v>
      </c>
      <c r="F132" s="575">
        <v>0</v>
      </c>
      <c r="G132" s="575">
        <v>0</v>
      </c>
      <c r="H132" s="579" t="s">
        <v>1279</v>
      </c>
    </row>
    <row r="133" spans="1:8">
      <c r="A133" s="278" t="s">
        <v>628</v>
      </c>
      <c r="B133" s="575" t="s">
        <v>1280</v>
      </c>
      <c r="C133" s="575">
        <v>-568355</v>
      </c>
      <c r="D133" s="575">
        <v>-568355</v>
      </c>
      <c r="E133" s="575">
        <v>0</v>
      </c>
      <c r="F133" s="575">
        <v>0</v>
      </c>
      <c r="G133" s="575">
        <v>0</v>
      </c>
      <c r="H133" s="579" t="s">
        <v>1246</v>
      </c>
    </row>
    <row r="134" spans="1:8">
      <c r="A134" s="278" t="s">
        <v>629</v>
      </c>
      <c r="B134" s="575" t="s">
        <v>1281</v>
      </c>
      <c r="C134" s="575">
        <v>0</v>
      </c>
      <c r="D134" s="575">
        <v>0</v>
      </c>
      <c r="E134" s="575">
        <v>0</v>
      </c>
      <c r="F134" s="575">
        <v>0</v>
      </c>
      <c r="G134" s="575">
        <v>0</v>
      </c>
      <c r="H134" s="577">
        <v>0</v>
      </c>
    </row>
    <row r="135" spans="1:8" ht="30">
      <c r="A135" s="278" t="s">
        <v>630</v>
      </c>
      <c r="B135" s="575" t="s">
        <v>1282</v>
      </c>
      <c r="C135" s="575">
        <v>-153762.71341534203</v>
      </c>
      <c r="D135" s="575">
        <v>0</v>
      </c>
      <c r="E135" s="575">
        <v>0</v>
      </c>
      <c r="F135" s="575">
        <v>-153762.71341534203</v>
      </c>
      <c r="G135" s="575">
        <v>0</v>
      </c>
      <c r="H135" s="577" t="s">
        <v>1283</v>
      </c>
    </row>
    <row r="136" spans="1:8">
      <c r="A136" s="278" t="s">
        <v>631</v>
      </c>
      <c r="B136" s="575" t="s">
        <v>1284</v>
      </c>
      <c r="C136" s="575">
        <v>-1461442.3188827867</v>
      </c>
      <c r="D136" s="575">
        <v>0</v>
      </c>
      <c r="E136" s="575">
        <v>0</v>
      </c>
      <c r="F136" s="575">
        <v>0</v>
      </c>
      <c r="G136" s="575">
        <v>-1461442.3188827867</v>
      </c>
      <c r="H136" s="577" t="s">
        <v>1285</v>
      </c>
    </row>
    <row r="137" spans="1:8">
      <c r="A137" s="278" t="s">
        <v>632</v>
      </c>
      <c r="B137" s="575" t="s">
        <v>1286</v>
      </c>
      <c r="C137" s="575">
        <v>-3581501.8396892999</v>
      </c>
      <c r="D137" s="575">
        <v>-3581501.8396892999</v>
      </c>
      <c r="E137" s="575">
        <v>0</v>
      </c>
      <c r="F137" s="575">
        <v>0</v>
      </c>
      <c r="G137" s="575">
        <v>0</v>
      </c>
      <c r="H137" s="577" t="s">
        <v>1259</v>
      </c>
    </row>
    <row r="138" spans="1:8">
      <c r="A138" s="278" t="s">
        <v>633</v>
      </c>
      <c r="B138" s="575" t="s">
        <v>1298</v>
      </c>
      <c r="C138" s="575">
        <v>-245785.7012832</v>
      </c>
      <c r="D138" s="575">
        <v>-245785.7012832</v>
      </c>
      <c r="E138" s="575">
        <v>0</v>
      </c>
      <c r="F138" s="575">
        <v>0</v>
      </c>
      <c r="G138" s="575">
        <v>0</v>
      </c>
      <c r="H138" s="577" t="s">
        <v>1259</v>
      </c>
    </row>
    <row r="139" spans="1:8">
      <c r="A139" s="278" t="s">
        <v>634</v>
      </c>
      <c r="B139" s="575" t="s">
        <v>1299</v>
      </c>
      <c r="C139" s="575">
        <v>-390761.32982099999</v>
      </c>
      <c r="D139" s="575">
        <v>-390761.32982099999</v>
      </c>
      <c r="E139" s="575">
        <v>0</v>
      </c>
      <c r="F139" s="575">
        <v>0</v>
      </c>
      <c r="G139" s="575">
        <v>0</v>
      </c>
      <c r="H139" s="577" t="s">
        <v>1259</v>
      </c>
    </row>
    <row r="140" spans="1:8">
      <c r="A140" s="278" t="s">
        <v>635</v>
      </c>
      <c r="B140" s="575" t="s">
        <v>1219</v>
      </c>
      <c r="C140" s="575">
        <v>-208177.84155093922</v>
      </c>
      <c r="D140" s="575">
        <v>0</v>
      </c>
      <c r="E140" s="575">
        <v>0</v>
      </c>
      <c r="F140" s="575">
        <v>0</v>
      </c>
      <c r="G140" s="575">
        <v>-208177.84155093922</v>
      </c>
      <c r="H140" s="577" t="s">
        <v>1249</v>
      </c>
    </row>
    <row r="141" spans="1:8" ht="30">
      <c r="A141" s="278" t="s">
        <v>636</v>
      </c>
      <c r="B141" s="575" t="s">
        <v>1300</v>
      </c>
      <c r="C141" s="575">
        <v>-127942.94572800001</v>
      </c>
      <c r="D141" s="575">
        <v>0</v>
      </c>
      <c r="E141" s="575">
        <v>0</v>
      </c>
      <c r="F141" s="575">
        <v>-127942.94572800001</v>
      </c>
      <c r="G141" s="575">
        <v>0</v>
      </c>
      <c r="H141" s="577" t="s">
        <v>1288</v>
      </c>
    </row>
    <row r="142" spans="1:8">
      <c r="A142" s="278" t="s">
        <v>637</v>
      </c>
      <c r="B142" s="575" t="s">
        <v>1287</v>
      </c>
      <c r="C142" s="575">
        <v>4.0715866245602683</v>
      </c>
      <c r="D142" s="575">
        <v>4.0715866245602683</v>
      </c>
      <c r="E142" s="575">
        <v>0</v>
      </c>
      <c r="F142" s="575">
        <v>0</v>
      </c>
      <c r="G142" s="575">
        <v>0</v>
      </c>
      <c r="H142" s="577" t="s">
        <v>1259</v>
      </c>
    </row>
    <row r="143" spans="1:8" ht="30">
      <c r="A143" s="278" t="s">
        <v>638</v>
      </c>
      <c r="B143" s="575" t="s">
        <v>1289</v>
      </c>
      <c r="C143" s="575">
        <v>-38518.078355327998</v>
      </c>
      <c r="D143" s="575">
        <v>0</v>
      </c>
      <c r="E143" s="575">
        <v>0</v>
      </c>
      <c r="F143" s="575">
        <v>0</v>
      </c>
      <c r="G143" s="575">
        <v>-38518.078355327998</v>
      </c>
      <c r="H143" s="577" t="s">
        <v>1256</v>
      </c>
    </row>
    <row r="144" spans="1:8">
      <c r="A144" s="278" t="s">
        <v>639</v>
      </c>
      <c r="B144" s="575" t="s">
        <v>1290</v>
      </c>
      <c r="C144" s="575">
        <v>-2217430.42359616</v>
      </c>
      <c r="D144" s="575">
        <v>-2217430.42359616</v>
      </c>
      <c r="E144" s="575">
        <v>0</v>
      </c>
      <c r="F144" s="575">
        <v>0</v>
      </c>
      <c r="G144" s="575">
        <v>0</v>
      </c>
      <c r="H144" s="577" t="s">
        <v>1291</v>
      </c>
    </row>
    <row r="145" spans="1:10" ht="30">
      <c r="A145" s="278" t="s">
        <v>640</v>
      </c>
      <c r="B145" s="575" t="s">
        <v>1232</v>
      </c>
      <c r="C145" s="575">
        <v>-90086556</v>
      </c>
      <c r="D145" s="575">
        <v>0</v>
      </c>
      <c r="E145" s="575">
        <v>0</v>
      </c>
      <c r="F145" s="575">
        <v>0</v>
      </c>
      <c r="G145" s="575">
        <v>-90086556</v>
      </c>
      <c r="H145" s="577" t="s">
        <v>1256</v>
      </c>
    </row>
    <row r="146" spans="1:10">
      <c r="A146" s="278" t="s">
        <v>641</v>
      </c>
      <c r="B146" s="575" t="s">
        <v>1301</v>
      </c>
      <c r="C146" s="575">
        <v>-9147256</v>
      </c>
      <c r="D146" s="575">
        <v>-9147256</v>
      </c>
      <c r="E146" s="575">
        <v>0</v>
      </c>
      <c r="F146" s="575">
        <v>0</v>
      </c>
      <c r="G146" s="575">
        <v>0</v>
      </c>
      <c r="H146" s="577" t="s">
        <v>1302</v>
      </c>
    </row>
    <row r="147" spans="1:10">
      <c r="A147" s="278" t="s">
        <v>642</v>
      </c>
      <c r="B147" s="575" t="s">
        <v>1292</v>
      </c>
      <c r="C147" s="575">
        <v>-3254291</v>
      </c>
      <c r="D147" s="575">
        <v>0</v>
      </c>
      <c r="E147" s="575">
        <v>0</v>
      </c>
      <c r="F147" s="575">
        <v>-3254291</v>
      </c>
      <c r="G147" s="575">
        <v>0</v>
      </c>
      <c r="H147" s="577" t="s">
        <v>1293</v>
      </c>
    </row>
    <row r="148" spans="1:10">
      <c r="A148" s="278" t="s">
        <v>643</v>
      </c>
      <c r="B148" s="575"/>
      <c r="C148" s="575"/>
      <c r="D148" s="575"/>
      <c r="E148" s="575"/>
      <c r="F148" s="575"/>
      <c r="G148" s="575"/>
      <c r="H148" s="577"/>
    </row>
    <row r="149" spans="1:10">
      <c r="A149" s="264" t="s">
        <v>644</v>
      </c>
      <c r="B149" s="581"/>
      <c r="C149" s="575"/>
      <c r="D149" s="575"/>
      <c r="E149" s="575"/>
      <c r="F149" s="575"/>
      <c r="G149" s="575"/>
      <c r="H149" s="791"/>
    </row>
    <row r="150" spans="1:10">
      <c r="A150" s="278" t="s">
        <v>644</v>
      </c>
      <c r="B150" s="581"/>
      <c r="C150" s="575"/>
      <c r="D150" s="575"/>
      <c r="E150" s="575"/>
      <c r="F150" s="575"/>
      <c r="G150" s="575"/>
      <c r="H150" s="776"/>
    </row>
    <row r="151" spans="1:10">
      <c r="A151" s="264">
        <v>26</v>
      </c>
      <c r="B151" s="280" t="s">
        <v>1061</v>
      </c>
      <c r="C151" s="812">
        <f>SUM(C123:C150)</f>
        <v>-122737491.81638199</v>
      </c>
      <c r="D151" s="812">
        <f>SUM(D123:D150)</f>
        <v>-26973975.918449584</v>
      </c>
      <c r="E151" s="812">
        <f>SUM(E120:E150)</f>
        <v>0</v>
      </c>
      <c r="F151" s="812">
        <f>SUM(F120:F150)</f>
        <v>-3968821.6591433422</v>
      </c>
      <c r="G151" s="812">
        <f>SUM(G120:G150)</f>
        <v>-91794694.238789052</v>
      </c>
      <c r="H151" s="792"/>
      <c r="J151" s="509"/>
    </row>
    <row r="152" spans="1:10">
      <c r="A152" s="264">
        <v>27</v>
      </c>
      <c r="B152" s="280" t="s">
        <v>598</v>
      </c>
      <c r="C152" s="808">
        <v>17006873.376000002</v>
      </c>
      <c r="D152" s="808">
        <v>-1581508</v>
      </c>
      <c r="E152" s="825">
        <v>0</v>
      </c>
      <c r="F152" s="808">
        <v>2358306</v>
      </c>
      <c r="G152" s="825">
        <v>16230075.376000002</v>
      </c>
      <c r="H152" s="820" t="s">
        <v>1167</v>
      </c>
    </row>
    <row r="153" spans="1:10">
      <c r="A153" s="264">
        <v>28</v>
      </c>
      <c r="B153" s="280" t="s">
        <v>599</v>
      </c>
      <c r="C153" s="808"/>
      <c r="D153" s="825"/>
      <c r="E153" s="825"/>
      <c r="F153" s="825"/>
      <c r="G153" s="825"/>
      <c r="H153" s="776"/>
    </row>
    <row r="154" spans="1:10">
      <c r="A154" s="278">
        <v>29</v>
      </c>
      <c r="B154" s="280" t="s">
        <v>13</v>
      </c>
      <c r="C154" s="812">
        <f>C151-C152-C153</f>
        <v>-139744365.19238198</v>
      </c>
      <c r="D154" s="812">
        <f>+D151-D152-D153</f>
        <v>-25392467.918449584</v>
      </c>
      <c r="E154" s="812">
        <f>+E151-E152-E153</f>
        <v>0</v>
      </c>
      <c r="F154" s="812">
        <f>+F151-F152-F153</f>
        <v>-6327127.6591433417</v>
      </c>
      <c r="G154" s="812">
        <f>+G151-G152-G153</f>
        <v>-108024769.61478905</v>
      </c>
      <c r="H154" s="792"/>
    </row>
    <row r="155" spans="1:10" ht="15.75" thickBot="1">
      <c r="A155" s="278"/>
      <c r="B155" s="301"/>
      <c r="C155" s="322"/>
      <c r="D155" s="322"/>
      <c r="E155" s="322"/>
      <c r="F155" s="322"/>
      <c r="G155" s="322"/>
      <c r="H155" s="793"/>
    </row>
    <row r="156" spans="1:10">
      <c r="A156" s="278">
        <v>30</v>
      </c>
      <c r="B156" s="307" t="s">
        <v>645</v>
      </c>
    </row>
    <row r="157" spans="1:10">
      <c r="A157" s="278">
        <v>31</v>
      </c>
      <c r="B157" s="291" t="s">
        <v>601</v>
      </c>
    </row>
    <row r="158" spans="1:10">
      <c r="A158" s="278">
        <v>32</v>
      </c>
      <c r="B158" s="291" t="s">
        <v>602</v>
      </c>
      <c r="C158" s="274"/>
    </row>
    <row r="159" spans="1:10">
      <c r="A159" s="278">
        <v>33</v>
      </c>
      <c r="B159" s="291" t="s">
        <v>603</v>
      </c>
    </row>
    <row r="160" spans="1:10">
      <c r="A160" s="278">
        <v>34</v>
      </c>
      <c r="B160" s="291" t="s">
        <v>604</v>
      </c>
    </row>
    <row r="161" spans="1:2">
      <c r="A161" s="278">
        <v>35</v>
      </c>
      <c r="B161" s="511" t="s">
        <v>605</v>
      </c>
    </row>
    <row r="162" spans="1:2">
      <c r="A162" s="278">
        <v>36</v>
      </c>
      <c r="B162" s="512" t="s">
        <v>606</v>
      </c>
    </row>
    <row r="163" spans="1:2">
      <c r="A163" s="278"/>
    </row>
  </sheetData>
  <mergeCells count="4">
    <mergeCell ref="B1:H1"/>
    <mergeCell ref="B75:H75"/>
    <mergeCell ref="B111:H111"/>
    <mergeCell ref="B2:H2"/>
  </mergeCells>
  <pageMargins left="0.7" right="0.7" top="0.75" bottom="0.75" header="0.3" footer="0.3"/>
  <pageSetup scale="43" fitToHeight="0" orientation="landscape" r:id="rId1"/>
  <rowBreaks count="2" manualBreakCount="2">
    <brk id="74" max="16383" man="1"/>
    <brk id="11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view="pageBreakPreview" topLeftCell="A79" zoomScale="60" zoomScaleNormal="60" workbookViewId="0">
      <selection activeCell="C87" sqref="C87:C93"/>
    </sheetView>
  </sheetViews>
  <sheetFormatPr defaultColWidth="8.88671875" defaultRowHeight="15"/>
  <cols>
    <col min="1" max="1" width="4.77734375" style="631" customWidth="1"/>
    <col min="2" max="2" width="45.6640625" style="631" customWidth="1"/>
    <col min="3" max="3" width="17.6640625" style="631" bestFit="1" customWidth="1"/>
    <col min="4" max="5" width="11.21875" style="631" customWidth="1"/>
    <col min="6" max="6" width="13.44140625" style="631" bestFit="1" customWidth="1"/>
    <col min="7" max="15" width="11.21875" style="631" bestFit="1" customWidth="1"/>
    <col min="16" max="16" width="12.21875" style="631" customWidth="1"/>
    <col min="17" max="17" width="10.44140625" style="631" bestFit="1" customWidth="1"/>
    <col min="18" max="18" width="10.77734375" style="631" bestFit="1" customWidth="1"/>
    <col min="19" max="19" width="13.44140625" style="631" bestFit="1" customWidth="1"/>
    <col min="20" max="20" width="12" style="631" bestFit="1" customWidth="1"/>
    <col min="21" max="16384" width="8.88671875" style="631"/>
  </cols>
  <sheetData>
    <row r="1" spans="1:20">
      <c r="B1" s="1005" t="str">
        <f>+'Attachment H-7'!D171</f>
        <v>PECO Energy Company</v>
      </c>
      <c r="C1" s="1005"/>
      <c r="D1" s="1005"/>
      <c r="E1" s="1005"/>
      <c r="F1" s="1005"/>
      <c r="G1" s="1005"/>
    </row>
    <row r="2" spans="1:20">
      <c r="B2" s="1007"/>
      <c r="C2" s="1007"/>
      <c r="D2" s="1007"/>
      <c r="E2" s="1007"/>
      <c r="F2" s="1007"/>
      <c r="G2" s="1007"/>
      <c r="H2" s="1007"/>
      <c r="T2" s="631" t="s">
        <v>465</v>
      </c>
    </row>
    <row r="3" spans="1:20">
      <c r="B3" s="1006" t="s">
        <v>684</v>
      </c>
      <c r="C3" s="1006"/>
      <c r="D3" s="1006"/>
      <c r="E3" s="1006"/>
      <c r="F3" s="1006"/>
      <c r="G3" s="1006"/>
    </row>
    <row r="4" spans="1:20">
      <c r="A4" s="839"/>
      <c r="B4" s="839"/>
    </row>
    <row r="5" spans="1:20">
      <c r="B5" s="632" t="s">
        <v>724</v>
      </c>
      <c r="C5" s="632"/>
      <c r="D5" s="632"/>
      <c r="E5" s="632"/>
      <c r="F5" s="632"/>
      <c r="G5" s="632"/>
    </row>
    <row r="6" spans="1:20">
      <c r="B6" s="627" t="s">
        <v>209</v>
      </c>
      <c r="C6" s="627" t="s">
        <v>210</v>
      </c>
      <c r="D6" s="627" t="s">
        <v>211</v>
      </c>
      <c r="E6" s="627" t="s">
        <v>212</v>
      </c>
      <c r="F6" s="627" t="s">
        <v>214</v>
      </c>
      <c r="G6" s="627" t="s">
        <v>213</v>
      </c>
      <c r="H6" s="627" t="s">
        <v>215</v>
      </c>
      <c r="I6" s="627" t="s">
        <v>216</v>
      </c>
      <c r="J6" s="627" t="s">
        <v>217</v>
      </c>
      <c r="K6" s="627" t="s">
        <v>259</v>
      </c>
      <c r="L6" s="627" t="s">
        <v>263</v>
      </c>
      <c r="M6" s="627" t="s">
        <v>502</v>
      </c>
      <c r="N6" s="627" t="s">
        <v>859</v>
      </c>
      <c r="O6" s="627" t="s">
        <v>860</v>
      </c>
      <c r="P6" s="627" t="s">
        <v>861</v>
      </c>
      <c r="Q6" s="627" t="s">
        <v>862</v>
      </c>
      <c r="R6" s="627" t="s">
        <v>863</v>
      </c>
      <c r="S6" s="627" t="s">
        <v>864</v>
      </c>
      <c r="T6" s="627" t="s">
        <v>867</v>
      </c>
    </row>
    <row r="7" spans="1:20">
      <c r="B7" s="629" t="s">
        <v>857</v>
      </c>
      <c r="C7" s="633" t="s">
        <v>206</v>
      </c>
      <c r="D7" s="627" t="s">
        <v>89</v>
      </c>
      <c r="E7" s="627" t="s">
        <v>88</v>
      </c>
      <c r="F7" s="627" t="s">
        <v>87</v>
      </c>
      <c r="G7" s="627" t="s">
        <v>79</v>
      </c>
      <c r="H7" s="627" t="s">
        <v>78</v>
      </c>
      <c r="I7" s="627" t="s">
        <v>98</v>
      </c>
      <c r="J7" s="627" t="s">
        <v>86</v>
      </c>
      <c r="K7" s="627" t="s">
        <v>85</v>
      </c>
      <c r="L7" s="627" t="s">
        <v>84</v>
      </c>
      <c r="M7" s="627" t="s">
        <v>90</v>
      </c>
      <c r="N7" s="627" t="s">
        <v>83</v>
      </c>
      <c r="O7" s="627" t="s">
        <v>82</v>
      </c>
      <c r="P7" s="627" t="s">
        <v>531</v>
      </c>
      <c r="Q7" s="631" t="s">
        <v>17</v>
      </c>
      <c r="R7" s="631" t="s">
        <v>858</v>
      </c>
      <c r="S7" s="631" t="s">
        <v>725</v>
      </c>
      <c r="T7" s="640" t="s">
        <v>13</v>
      </c>
    </row>
    <row r="8" spans="1:20">
      <c r="B8" s="629"/>
      <c r="C8" s="633"/>
      <c r="D8" s="627"/>
      <c r="E8" s="627"/>
      <c r="F8" s="627"/>
      <c r="G8" s="627"/>
      <c r="H8" s="627"/>
      <c r="I8" s="627"/>
      <c r="J8" s="627"/>
      <c r="K8" s="627"/>
      <c r="L8" s="627"/>
      <c r="M8" s="627"/>
      <c r="N8" s="627"/>
      <c r="O8" s="627"/>
      <c r="P8" s="641" t="s">
        <v>868</v>
      </c>
      <c r="T8" s="642" t="s">
        <v>869</v>
      </c>
    </row>
    <row r="9" spans="1:20">
      <c r="A9" s="634">
        <v>1</v>
      </c>
      <c r="B9" s="951" t="s">
        <v>1303</v>
      </c>
      <c r="C9" s="858">
        <v>10302412</v>
      </c>
      <c r="D9" s="858">
        <v>13993544</v>
      </c>
      <c r="E9" s="858">
        <v>14781082</v>
      </c>
      <c r="F9" s="858">
        <v>11963216</v>
      </c>
      <c r="G9" s="858">
        <v>11967152</v>
      </c>
      <c r="H9" s="858">
        <v>14073259</v>
      </c>
      <c r="I9" s="858">
        <v>14903080</v>
      </c>
      <c r="J9" s="858">
        <v>12718488</v>
      </c>
      <c r="K9" s="858">
        <v>12910519</v>
      </c>
      <c r="L9" s="858">
        <v>13083189</v>
      </c>
      <c r="M9" s="858">
        <v>13027294</v>
      </c>
      <c r="N9" s="858">
        <v>13201224</v>
      </c>
      <c r="O9" s="858">
        <v>14332648</v>
      </c>
      <c r="P9" s="635">
        <f>AVERAGE(C9:O9)</f>
        <v>13173623.615384616</v>
      </c>
      <c r="Q9" s="635"/>
      <c r="R9" s="635"/>
      <c r="S9" s="635">
        <f>P9</f>
        <v>13173623.615384616</v>
      </c>
      <c r="T9" s="635">
        <f>SUM(Q9:S9)</f>
        <v>13173623.615384616</v>
      </c>
    </row>
    <row r="10" spans="1:20">
      <c r="A10" s="634">
        <f>A9+1</f>
        <v>2</v>
      </c>
      <c r="B10" s="951" t="s">
        <v>1304</v>
      </c>
      <c r="C10" s="858">
        <v>11304551</v>
      </c>
      <c r="D10" s="858">
        <v>11306758</v>
      </c>
      <c r="E10" s="858">
        <v>11306758</v>
      </c>
      <c r="F10" s="858">
        <v>11338399</v>
      </c>
      <c r="G10" s="858">
        <v>11340400</v>
      </c>
      <c r="H10" s="858">
        <v>11284553</v>
      </c>
      <c r="I10" s="858">
        <v>11519007</v>
      </c>
      <c r="J10" s="858">
        <v>10929111</v>
      </c>
      <c r="K10" s="858">
        <v>10965736</v>
      </c>
      <c r="L10" s="858">
        <v>10955547</v>
      </c>
      <c r="M10" s="858">
        <v>10942303</v>
      </c>
      <c r="N10" s="858">
        <v>11121894</v>
      </c>
      <c r="O10" s="858">
        <v>11298011</v>
      </c>
      <c r="P10" s="635">
        <f t="shared" ref="P10:P15" si="0">AVERAGE(C10:O10)</f>
        <v>11201002.153846154</v>
      </c>
      <c r="Q10" s="635">
        <f>P10</f>
        <v>11201002.153846154</v>
      </c>
      <c r="R10" s="635"/>
      <c r="S10" s="635"/>
      <c r="T10" s="635">
        <f t="shared" ref="T10:T27" si="1">SUM(Q10:S10)</f>
        <v>11201002.153846154</v>
      </c>
    </row>
    <row r="11" spans="1:20">
      <c r="A11" s="634">
        <f t="shared" ref="A11:A29" si="2">A10+1</f>
        <v>3</v>
      </c>
      <c r="B11" s="951" t="s">
        <v>1305</v>
      </c>
      <c r="C11" s="858">
        <v>1613218</v>
      </c>
      <c r="D11" s="858">
        <v>1613593</v>
      </c>
      <c r="E11" s="858">
        <v>1613593</v>
      </c>
      <c r="F11" s="858">
        <v>1616968</v>
      </c>
      <c r="G11" s="858">
        <v>1617181</v>
      </c>
      <c r="H11" s="858">
        <v>1678137</v>
      </c>
      <c r="I11" s="858">
        <v>1912516</v>
      </c>
      <c r="J11" s="858">
        <v>1793387</v>
      </c>
      <c r="K11" s="858">
        <v>1830012</v>
      </c>
      <c r="L11" s="858">
        <v>1819823</v>
      </c>
      <c r="M11" s="858">
        <v>1806579</v>
      </c>
      <c r="N11" s="858">
        <v>1892208</v>
      </c>
      <c r="O11" s="858">
        <v>2042317</v>
      </c>
      <c r="P11" s="635">
        <f t="shared" si="0"/>
        <v>1757656.3076923077</v>
      </c>
      <c r="Q11" s="635"/>
      <c r="R11" s="635">
        <f>P11</f>
        <v>1757656.3076923077</v>
      </c>
      <c r="S11" s="635"/>
      <c r="T11" s="635">
        <f t="shared" si="1"/>
        <v>1757656.3076923077</v>
      </c>
    </row>
    <row r="12" spans="1:20">
      <c r="A12" s="634">
        <f t="shared" si="2"/>
        <v>4</v>
      </c>
      <c r="B12" s="951" t="s">
        <v>1306</v>
      </c>
      <c r="C12" s="858">
        <v>2231384.02</v>
      </c>
      <c r="D12" s="858">
        <v>2231384</v>
      </c>
      <c r="E12" s="858">
        <v>2231384</v>
      </c>
      <c r="F12" s="858">
        <v>2231384</v>
      </c>
      <c r="G12" s="858">
        <v>2231384</v>
      </c>
      <c r="H12" s="858">
        <v>2231384</v>
      </c>
      <c r="I12" s="858">
        <v>2231384</v>
      </c>
      <c r="J12" s="858">
        <v>2231384</v>
      </c>
      <c r="K12" s="858">
        <v>2231384</v>
      </c>
      <c r="L12" s="858">
        <v>2231384</v>
      </c>
      <c r="M12" s="858">
        <v>2231384</v>
      </c>
      <c r="N12" s="858">
        <v>2231384</v>
      </c>
      <c r="O12" s="858">
        <v>2231384</v>
      </c>
      <c r="P12" s="635">
        <f t="shared" si="0"/>
        <v>2231384.0015384615</v>
      </c>
      <c r="Q12" s="635"/>
      <c r="R12" s="635">
        <f>P12</f>
        <v>2231384.0015384615</v>
      </c>
      <c r="S12" s="635"/>
      <c r="T12" s="635">
        <f t="shared" si="1"/>
        <v>2231384.0015384615</v>
      </c>
    </row>
    <row r="13" spans="1:20">
      <c r="A13" s="634">
        <f t="shared" si="2"/>
        <v>5</v>
      </c>
      <c r="B13" s="951" t="s">
        <v>1307</v>
      </c>
      <c r="C13" s="858">
        <v>0</v>
      </c>
      <c r="D13" s="858">
        <v>8535347</v>
      </c>
      <c r="E13" s="858">
        <v>8535347</v>
      </c>
      <c r="F13" s="858">
        <v>9247193</v>
      </c>
      <c r="G13" s="858">
        <v>9247193</v>
      </c>
      <c r="H13" s="858">
        <v>9231602</v>
      </c>
      <c r="I13" s="858">
        <v>9403458</v>
      </c>
      <c r="J13" s="858">
        <v>12439882</v>
      </c>
      <c r="K13" s="858">
        <v>12439882</v>
      </c>
      <c r="L13" s="858">
        <v>12439882</v>
      </c>
      <c r="M13" s="858">
        <v>12439882</v>
      </c>
      <c r="N13" s="858">
        <v>12439882</v>
      </c>
      <c r="O13" s="858">
        <v>16094656</v>
      </c>
      <c r="P13" s="635">
        <f t="shared" si="0"/>
        <v>10191862</v>
      </c>
      <c r="Q13" s="635"/>
      <c r="R13" s="635">
        <f>P13</f>
        <v>10191862</v>
      </c>
      <c r="S13" s="635"/>
      <c r="T13" s="635">
        <f t="shared" si="1"/>
        <v>10191862</v>
      </c>
    </row>
    <row r="14" spans="1:20">
      <c r="A14" s="634">
        <f t="shared" si="2"/>
        <v>6</v>
      </c>
      <c r="B14" s="636" t="s">
        <v>1308</v>
      </c>
      <c r="C14" s="858">
        <v>19162698.98</v>
      </c>
      <c r="D14" s="858">
        <v>19638254</v>
      </c>
      <c r="E14" s="858">
        <v>19638254</v>
      </c>
      <c r="F14" s="858">
        <v>19638254</v>
      </c>
      <c r="G14" s="858">
        <v>19638254</v>
      </c>
      <c r="H14" s="858">
        <v>19638254</v>
      </c>
      <c r="I14" s="858">
        <v>19638254</v>
      </c>
      <c r="J14" s="858">
        <v>19638254</v>
      </c>
      <c r="K14" s="858">
        <v>19638254</v>
      </c>
      <c r="L14" s="858">
        <v>19638254</v>
      </c>
      <c r="M14" s="858">
        <v>19638254</v>
      </c>
      <c r="N14" s="858">
        <v>19638254</v>
      </c>
      <c r="O14" s="858">
        <v>19638254</v>
      </c>
      <c r="P14" s="635">
        <f t="shared" si="0"/>
        <v>19601672.844615385</v>
      </c>
      <c r="Q14" s="635"/>
      <c r="R14" s="635">
        <f>P14</f>
        <v>19601672.844615385</v>
      </c>
      <c r="S14" s="635"/>
      <c r="T14" s="635">
        <f t="shared" si="1"/>
        <v>19601672.844615385</v>
      </c>
    </row>
    <row r="15" spans="1:20">
      <c r="A15" s="634">
        <f t="shared" si="2"/>
        <v>7</v>
      </c>
      <c r="B15" s="951" t="s">
        <v>1309</v>
      </c>
      <c r="C15" s="858">
        <v>83763016</v>
      </c>
      <c r="D15" s="858">
        <v>83791380</v>
      </c>
      <c r="E15" s="858">
        <v>84273901</v>
      </c>
      <c r="F15" s="858">
        <v>84335435</v>
      </c>
      <c r="G15" s="858">
        <v>83830786</v>
      </c>
      <c r="H15" s="858">
        <v>83830654</v>
      </c>
      <c r="I15" s="858">
        <v>83830679</v>
      </c>
      <c r="J15" s="858">
        <v>83830679</v>
      </c>
      <c r="K15" s="858">
        <v>83830679</v>
      </c>
      <c r="L15" s="858">
        <v>86110084</v>
      </c>
      <c r="M15" s="858">
        <v>86110084</v>
      </c>
      <c r="N15" s="858">
        <v>86110084</v>
      </c>
      <c r="O15" s="858">
        <v>86110084</v>
      </c>
      <c r="P15" s="635">
        <f t="shared" si="0"/>
        <v>84596734.230769232</v>
      </c>
      <c r="Q15" s="635"/>
      <c r="R15" s="635">
        <f>P15</f>
        <v>84596734.230769232</v>
      </c>
      <c r="S15" s="635"/>
      <c r="T15" s="635">
        <f t="shared" si="1"/>
        <v>84596734.230769232</v>
      </c>
    </row>
    <row r="16" spans="1:20">
      <c r="A16" s="634">
        <f t="shared" si="2"/>
        <v>8</v>
      </c>
      <c r="B16" s="630"/>
      <c r="C16" s="630"/>
      <c r="D16" s="630"/>
      <c r="E16" s="630"/>
      <c r="F16" s="630"/>
      <c r="G16" s="630"/>
      <c r="H16" s="630"/>
      <c r="I16" s="636"/>
      <c r="J16" s="636"/>
      <c r="K16" s="636"/>
      <c r="L16" s="636"/>
      <c r="M16" s="636"/>
      <c r="N16" s="636"/>
      <c r="O16" s="636"/>
      <c r="P16" s="635"/>
      <c r="Q16" s="635"/>
      <c r="R16" s="635"/>
      <c r="S16" s="635"/>
      <c r="T16" s="635">
        <f t="shared" si="1"/>
        <v>0</v>
      </c>
    </row>
    <row r="17" spans="1:20">
      <c r="A17" s="634">
        <f t="shared" si="2"/>
        <v>9</v>
      </c>
      <c r="B17" s="630"/>
      <c r="C17" s="630"/>
      <c r="D17" s="630"/>
      <c r="E17" s="630"/>
      <c r="F17" s="630"/>
      <c r="G17" s="630"/>
      <c r="H17" s="630"/>
      <c r="I17" s="636"/>
      <c r="J17" s="636"/>
      <c r="K17" s="636"/>
      <c r="L17" s="636"/>
      <c r="M17" s="636"/>
      <c r="N17" s="636"/>
      <c r="O17" s="636"/>
      <c r="P17" s="635"/>
      <c r="Q17" s="635"/>
      <c r="R17" s="635"/>
      <c r="S17" s="635"/>
      <c r="T17" s="635">
        <f t="shared" si="1"/>
        <v>0</v>
      </c>
    </row>
    <row r="18" spans="1:20">
      <c r="A18" s="634">
        <f t="shared" si="2"/>
        <v>10</v>
      </c>
      <c r="B18" s="630"/>
      <c r="C18" s="630"/>
      <c r="D18" s="630"/>
      <c r="E18" s="630"/>
      <c r="F18" s="630"/>
      <c r="G18" s="630"/>
      <c r="H18" s="630"/>
      <c r="I18" s="636"/>
      <c r="J18" s="636"/>
      <c r="K18" s="636"/>
      <c r="L18" s="636"/>
      <c r="M18" s="636"/>
      <c r="N18" s="636"/>
      <c r="O18" s="636"/>
      <c r="P18" s="635"/>
      <c r="Q18" s="635"/>
      <c r="R18" s="635"/>
      <c r="S18" s="635"/>
      <c r="T18" s="635">
        <f t="shared" si="1"/>
        <v>0</v>
      </c>
    </row>
    <row r="19" spans="1:20">
      <c r="A19" s="634">
        <f t="shared" si="2"/>
        <v>11</v>
      </c>
      <c r="B19" s="630"/>
      <c r="C19" s="630"/>
      <c r="D19" s="630"/>
      <c r="E19" s="630"/>
      <c r="F19" s="630"/>
      <c r="G19" s="630"/>
      <c r="H19" s="630"/>
      <c r="I19" s="636"/>
      <c r="J19" s="636"/>
      <c r="K19" s="636"/>
      <c r="L19" s="636"/>
      <c r="M19" s="636"/>
      <c r="N19" s="636"/>
      <c r="O19" s="636"/>
      <c r="P19" s="635"/>
      <c r="Q19" s="635"/>
      <c r="R19" s="635"/>
      <c r="S19" s="635"/>
      <c r="T19" s="635">
        <f t="shared" si="1"/>
        <v>0</v>
      </c>
    </row>
    <row r="20" spans="1:20">
      <c r="A20" s="634">
        <f t="shared" si="2"/>
        <v>12</v>
      </c>
      <c r="B20" s="630"/>
      <c r="C20" s="630"/>
      <c r="D20" s="630"/>
      <c r="E20" s="630"/>
      <c r="F20" s="630"/>
      <c r="G20" s="630"/>
      <c r="H20" s="630"/>
      <c r="I20" s="636"/>
      <c r="J20" s="636"/>
      <c r="K20" s="636"/>
      <c r="L20" s="636"/>
      <c r="M20" s="636"/>
      <c r="N20" s="636"/>
      <c r="O20" s="636"/>
      <c r="P20" s="635"/>
      <c r="Q20" s="635"/>
      <c r="R20" s="635"/>
      <c r="S20" s="635"/>
      <c r="T20" s="635">
        <f t="shared" si="1"/>
        <v>0</v>
      </c>
    </row>
    <row r="21" spans="1:20">
      <c r="A21" s="634">
        <f t="shared" si="2"/>
        <v>13</v>
      </c>
      <c r="B21" s="630"/>
      <c r="C21" s="630"/>
      <c r="D21" s="630"/>
      <c r="E21" s="630"/>
      <c r="F21" s="630"/>
      <c r="G21" s="630"/>
      <c r="H21" s="630"/>
      <c r="I21" s="636"/>
      <c r="J21" s="636"/>
      <c r="K21" s="636"/>
      <c r="L21" s="636"/>
      <c r="M21" s="636"/>
      <c r="N21" s="636"/>
      <c r="O21" s="636"/>
      <c r="P21" s="635"/>
      <c r="Q21" s="635"/>
      <c r="R21" s="635"/>
      <c r="S21" s="635"/>
      <c r="T21" s="635">
        <f t="shared" si="1"/>
        <v>0</v>
      </c>
    </row>
    <row r="22" spans="1:20">
      <c r="A22" s="634">
        <f t="shared" si="2"/>
        <v>14</v>
      </c>
      <c r="B22" s="636"/>
      <c r="C22" s="636"/>
      <c r="D22" s="636"/>
      <c r="E22" s="636"/>
      <c r="F22" s="636"/>
      <c r="G22" s="636"/>
      <c r="H22" s="636"/>
      <c r="I22" s="636"/>
      <c r="J22" s="636"/>
      <c r="K22" s="636"/>
      <c r="L22" s="636"/>
      <c r="M22" s="636"/>
      <c r="N22" s="636"/>
      <c r="O22" s="636"/>
      <c r="Q22" s="635"/>
      <c r="R22" s="635"/>
      <c r="S22" s="635"/>
      <c r="T22" s="635">
        <f t="shared" si="1"/>
        <v>0</v>
      </c>
    </row>
    <row r="23" spans="1:20">
      <c r="A23" s="634">
        <f t="shared" si="2"/>
        <v>15</v>
      </c>
      <c r="B23" s="630"/>
      <c r="C23" s="630"/>
      <c r="D23" s="630"/>
      <c r="E23" s="630"/>
      <c r="F23" s="630"/>
      <c r="G23" s="630"/>
      <c r="H23" s="630"/>
      <c r="I23" s="636"/>
      <c r="J23" s="636"/>
      <c r="K23" s="636"/>
      <c r="L23" s="636"/>
      <c r="M23" s="636"/>
      <c r="N23" s="636"/>
      <c r="O23" s="636"/>
      <c r="Q23" s="635"/>
      <c r="R23" s="635"/>
      <c r="S23" s="635"/>
      <c r="T23" s="635">
        <f t="shared" si="1"/>
        <v>0</v>
      </c>
    </row>
    <row r="24" spans="1:20">
      <c r="A24" s="634">
        <f t="shared" si="2"/>
        <v>16</v>
      </c>
      <c r="B24" s="636"/>
      <c r="C24" s="636"/>
      <c r="D24" s="636"/>
      <c r="E24" s="636"/>
      <c r="F24" s="636"/>
      <c r="G24" s="636"/>
      <c r="H24" s="636"/>
      <c r="I24" s="636"/>
      <c r="J24" s="636"/>
      <c r="K24" s="636"/>
      <c r="L24" s="636"/>
      <c r="M24" s="636"/>
      <c r="N24" s="636"/>
      <c r="O24" s="636"/>
      <c r="Q24" s="635"/>
      <c r="R24" s="635"/>
      <c r="S24" s="635"/>
      <c r="T24" s="635">
        <f t="shared" si="1"/>
        <v>0</v>
      </c>
    </row>
    <row r="25" spans="1:20">
      <c r="A25" s="634">
        <f t="shared" si="2"/>
        <v>17</v>
      </c>
      <c r="B25" s="636"/>
      <c r="C25" s="636"/>
      <c r="D25" s="636"/>
      <c r="E25" s="636"/>
      <c r="F25" s="636"/>
      <c r="G25" s="636"/>
      <c r="H25" s="636"/>
      <c r="I25" s="636"/>
      <c r="J25" s="636"/>
      <c r="K25" s="636"/>
      <c r="L25" s="636"/>
      <c r="M25" s="636"/>
      <c r="N25" s="636"/>
      <c r="O25" s="636"/>
      <c r="Q25" s="635"/>
      <c r="R25" s="635"/>
      <c r="S25" s="635"/>
      <c r="T25" s="635">
        <f t="shared" si="1"/>
        <v>0</v>
      </c>
    </row>
    <row r="26" spans="1:20">
      <c r="A26" s="634">
        <f t="shared" si="2"/>
        <v>18</v>
      </c>
      <c r="B26" s="636"/>
      <c r="C26" s="636"/>
      <c r="D26" s="636"/>
      <c r="E26" s="636"/>
      <c r="F26" s="636"/>
      <c r="G26" s="636"/>
      <c r="H26" s="636"/>
      <c r="I26" s="636"/>
      <c r="J26" s="636"/>
      <c r="K26" s="636"/>
      <c r="L26" s="636"/>
      <c r="M26" s="636"/>
      <c r="N26" s="636"/>
      <c r="O26" s="636"/>
      <c r="Q26" s="635"/>
      <c r="R26" s="635"/>
      <c r="S26" s="635"/>
      <c r="T26" s="635">
        <f t="shared" si="1"/>
        <v>0</v>
      </c>
    </row>
    <row r="27" spans="1:20">
      <c r="A27" s="634">
        <f t="shared" si="2"/>
        <v>19</v>
      </c>
      <c r="B27" s="627" t="s">
        <v>13</v>
      </c>
      <c r="C27" s="635">
        <f>SUM(C9:C26)</f>
        <v>128377280</v>
      </c>
      <c r="D27" s="635">
        <f t="shared" ref="D27:O27" si="3">SUM(D9:D26)</f>
        <v>141110260</v>
      </c>
      <c r="E27" s="635">
        <f t="shared" si="3"/>
        <v>142380319</v>
      </c>
      <c r="F27" s="635">
        <f t="shared" si="3"/>
        <v>140370849</v>
      </c>
      <c r="G27" s="635">
        <f t="shared" si="3"/>
        <v>139872350</v>
      </c>
      <c r="H27" s="635">
        <f t="shared" si="3"/>
        <v>141967843</v>
      </c>
      <c r="I27" s="635">
        <f t="shared" si="3"/>
        <v>143438378</v>
      </c>
      <c r="J27" s="635">
        <f t="shared" si="3"/>
        <v>143581185</v>
      </c>
      <c r="K27" s="635">
        <f t="shared" si="3"/>
        <v>143846466</v>
      </c>
      <c r="L27" s="635">
        <f t="shared" si="3"/>
        <v>146278163</v>
      </c>
      <c r="M27" s="635">
        <f t="shared" si="3"/>
        <v>146195780</v>
      </c>
      <c r="N27" s="635">
        <f t="shared" si="3"/>
        <v>146634930</v>
      </c>
      <c r="O27" s="635">
        <f t="shared" si="3"/>
        <v>151747354</v>
      </c>
      <c r="P27" s="635">
        <f>AVERAGE(C27:O27)</f>
        <v>142753935.15384614</v>
      </c>
      <c r="Q27" s="635">
        <f>SUM(Q9:Q26)</f>
        <v>11201002.153846154</v>
      </c>
      <c r="R27" s="635">
        <f>SUM(R9:R26)</f>
        <v>118379309.38461539</v>
      </c>
      <c r="S27" s="635">
        <f>SUM(S9:S26)</f>
        <v>13173623.615384616</v>
      </c>
      <c r="T27" s="635">
        <f t="shared" si="1"/>
        <v>142753935.15384617</v>
      </c>
    </row>
    <row r="28" spans="1:20">
      <c r="A28" s="634">
        <f t="shared" si="2"/>
        <v>20</v>
      </c>
      <c r="B28" s="627"/>
      <c r="C28" s="635"/>
      <c r="D28" s="635"/>
      <c r="E28" s="635"/>
      <c r="F28" s="635"/>
      <c r="G28" s="635"/>
      <c r="H28" s="635"/>
      <c r="I28" s="635"/>
      <c r="J28" s="635"/>
      <c r="K28" s="635"/>
      <c r="L28" s="635"/>
      <c r="M28" s="635"/>
      <c r="N28" s="635"/>
      <c r="O28" s="635"/>
      <c r="P28" s="639" t="s">
        <v>742</v>
      </c>
      <c r="Q28" s="843">
        <v>1</v>
      </c>
      <c r="R28" s="843">
        <v>0</v>
      </c>
      <c r="S28" s="638">
        <f>'Attachment H-7'!I191</f>
        <v>0.1176002587197187</v>
      </c>
      <c r="T28" s="635"/>
    </row>
    <row r="29" spans="1:20">
      <c r="A29" s="634">
        <f t="shared" si="2"/>
        <v>21</v>
      </c>
      <c r="B29" s="627"/>
      <c r="C29" s="635"/>
      <c r="D29" s="635"/>
      <c r="E29" s="635"/>
      <c r="F29" s="635"/>
      <c r="G29" s="635"/>
      <c r="H29" s="635"/>
      <c r="I29" s="635"/>
      <c r="J29" s="635"/>
      <c r="K29" s="635"/>
      <c r="L29" s="635"/>
      <c r="M29" s="635"/>
      <c r="N29" s="635"/>
      <c r="O29" s="635"/>
      <c r="P29" s="639" t="s">
        <v>866</v>
      </c>
      <c r="Q29" s="635">
        <f>Q27*Q28</f>
        <v>11201002.153846154</v>
      </c>
      <c r="R29" s="635">
        <f>R27*R28</f>
        <v>0</v>
      </c>
      <c r="S29" s="635">
        <f>S27*S28</f>
        <v>1549221.5454454268</v>
      </c>
      <c r="T29" s="635">
        <f>SUM(Q29:S29)</f>
        <v>12750223.699291581</v>
      </c>
    </row>
    <row r="30" spans="1:20">
      <c r="A30" s="634"/>
    </row>
    <row r="31" spans="1:20">
      <c r="B31" s="627" t="s">
        <v>209</v>
      </c>
      <c r="C31" s="627" t="s">
        <v>210</v>
      </c>
      <c r="D31" s="627" t="s">
        <v>211</v>
      </c>
      <c r="E31" s="627" t="s">
        <v>212</v>
      </c>
      <c r="F31" s="627" t="s">
        <v>214</v>
      </c>
      <c r="G31" s="627" t="s">
        <v>213</v>
      </c>
      <c r="H31" s="627" t="s">
        <v>215</v>
      </c>
      <c r="I31" s="627" t="s">
        <v>216</v>
      </c>
      <c r="J31" s="627" t="s">
        <v>217</v>
      </c>
      <c r="K31" s="627" t="s">
        <v>259</v>
      </c>
      <c r="L31" s="627" t="s">
        <v>263</v>
      </c>
      <c r="M31" s="627" t="s">
        <v>502</v>
      </c>
      <c r="N31" s="627" t="s">
        <v>859</v>
      </c>
      <c r="O31" s="627" t="s">
        <v>860</v>
      </c>
      <c r="P31" s="627" t="s">
        <v>861</v>
      </c>
      <c r="Q31" s="627" t="s">
        <v>862</v>
      </c>
      <c r="R31" s="627" t="s">
        <v>863</v>
      </c>
      <c r="S31" s="627" t="s">
        <v>864</v>
      </c>
      <c r="T31" s="627" t="s">
        <v>867</v>
      </c>
    </row>
    <row r="32" spans="1:20">
      <c r="B32" s="629" t="s">
        <v>219</v>
      </c>
      <c r="C32" s="633" t="s">
        <v>206</v>
      </c>
      <c r="D32" s="627" t="s">
        <v>89</v>
      </c>
      <c r="E32" s="627" t="s">
        <v>88</v>
      </c>
      <c r="F32" s="627" t="s">
        <v>87</v>
      </c>
      <c r="G32" s="627" t="s">
        <v>79</v>
      </c>
      <c r="H32" s="627" t="s">
        <v>78</v>
      </c>
      <c r="I32" s="627" t="s">
        <v>98</v>
      </c>
      <c r="J32" s="627" t="s">
        <v>86</v>
      </c>
      <c r="K32" s="627" t="s">
        <v>85</v>
      </c>
      <c r="L32" s="627" t="s">
        <v>84</v>
      </c>
      <c r="M32" s="627" t="s">
        <v>90</v>
      </c>
      <c r="N32" s="627" t="s">
        <v>83</v>
      </c>
      <c r="O32" s="627" t="s">
        <v>82</v>
      </c>
      <c r="P32" s="627" t="s">
        <v>531</v>
      </c>
      <c r="Q32" s="631" t="s">
        <v>17</v>
      </c>
      <c r="R32" s="631" t="s">
        <v>858</v>
      </c>
      <c r="S32" s="631" t="s">
        <v>725</v>
      </c>
      <c r="T32" s="640" t="s">
        <v>13</v>
      </c>
    </row>
    <row r="33" spans="1:20">
      <c r="B33" s="629"/>
      <c r="C33" s="633"/>
      <c r="D33" s="627"/>
      <c r="E33" s="627"/>
      <c r="F33" s="627"/>
      <c r="G33" s="627"/>
      <c r="H33" s="627"/>
      <c r="I33" s="627"/>
      <c r="J33" s="627"/>
      <c r="K33" s="627"/>
      <c r="L33" s="627"/>
      <c r="M33" s="627"/>
      <c r="N33" s="627"/>
      <c r="O33" s="627"/>
      <c r="P33" s="641" t="s">
        <v>868</v>
      </c>
      <c r="T33" s="642" t="s">
        <v>869</v>
      </c>
    </row>
    <row r="34" spans="1:20">
      <c r="A34" s="634">
        <f>A29+1</f>
        <v>22</v>
      </c>
      <c r="B34" s="951" t="s">
        <v>1303</v>
      </c>
      <c r="C34" s="858">
        <v>3915875</v>
      </c>
      <c r="D34" s="858">
        <v>4034565</v>
      </c>
      <c r="E34" s="858">
        <v>4236394</v>
      </c>
      <c r="F34" s="858">
        <v>3255002</v>
      </c>
      <c r="G34" s="858">
        <v>3422463</v>
      </c>
      <c r="H34" s="858">
        <v>3604893</v>
      </c>
      <c r="I34" s="858">
        <v>3808154</v>
      </c>
      <c r="J34" s="858">
        <v>4001801</v>
      </c>
      <c r="K34" s="858">
        <v>4181313</v>
      </c>
      <c r="L34" s="858">
        <v>4363413</v>
      </c>
      <c r="M34" s="858">
        <v>4546340</v>
      </c>
      <c r="N34" s="858">
        <v>4730106</v>
      </c>
      <c r="O34" s="858">
        <v>4923130</v>
      </c>
      <c r="P34" s="635">
        <f t="shared" ref="P34:P40" si="4">AVERAGE(C34:O34)</f>
        <v>4078726.846153846</v>
      </c>
      <c r="Q34" s="635"/>
      <c r="R34" s="635"/>
      <c r="S34" s="635">
        <f>P34</f>
        <v>4078726.846153846</v>
      </c>
      <c r="T34" s="635">
        <f>SUM(Q34:S34)</f>
        <v>4078726.846153846</v>
      </c>
    </row>
    <row r="35" spans="1:20">
      <c r="A35" s="634">
        <f>A34+1</f>
        <v>23</v>
      </c>
      <c r="B35" s="951" t="s">
        <v>1304</v>
      </c>
      <c r="C35" s="637">
        <v>1844508</v>
      </c>
      <c r="D35" s="841">
        <v>2036183</v>
      </c>
      <c r="E35" s="841">
        <v>2227881</v>
      </c>
      <c r="F35" s="841">
        <v>2420934</v>
      </c>
      <c r="G35" s="841">
        <v>2613155</v>
      </c>
      <c r="H35" s="841">
        <v>2804481</v>
      </c>
      <c r="I35" s="841">
        <v>2996824</v>
      </c>
      <c r="J35" s="841">
        <v>3114947</v>
      </c>
      <c r="K35" s="841">
        <v>3296979</v>
      </c>
      <c r="L35" s="841">
        <v>3479244</v>
      </c>
      <c r="M35" s="841">
        <v>3661291</v>
      </c>
      <c r="N35" s="841">
        <v>3844767</v>
      </c>
      <c r="O35" s="841">
        <v>4031408</v>
      </c>
      <c r="P35" s="635">
        <f t="shared" si="4"/>
        <v>2951738.6153846155</v>
      </c>
      <c r="Q35" s="635">
        <f>P35</f>
        <v>2951738.6153846155</v>
      </c>
      <c r="R35" s="635"/>
      <c r="S35" s="635"/>
      <c r="T35" s="635">
        <f t="shared" ref="T35:T52" si="5">SUM(Q35:S35)</f>
        <v>2951738.6153846155</v>
      </c>
    </row>
    <row r="36" spans="1:20">
      <c r="A36" s="634">
        <f t="shared" ref="A36:A54" si="6">A35+1</f>
        <v>24</v>
      </c>
      <c r="B36" s="951" t="s">
        <v>1305</v>
      </c>
      <c r="C36" s="637">
        <v>248114</v>
      </c>
      <c r="D36" s="841">
        <v>275887</v>
      </c>
      <c r="E36" s="841">
        <v>303663</v>
      </c>
      <c r="F36" s="841">
        <v>331589</v>
      </c>
      <c r="G36" s="841">
        <v>359421</v>
      </c>
      <c r="H36" s="841">
        <v>387651</v>
      </c>
      <c r="I36" s="841">
        <v>418237</v>
      </c>
      <c r="J36" s="841">
        <v>431863</v>
      </c>
      <c r="K36" s="841">
        <v>462101</v>
      </c>
      <c r="L36" s="841">
        <v>492573</v>
      </c>
      <c r="M36" s="841">
        <v>522834</v>
      </c>
      <c r="N36" s="841">
        <v>553733</v>
      </c>
      <c r="O36" s="841">
        <v>586795</v>
      </c>
      <c r="P36" s="635">
        <f t="shared" si="4"/>
        <v>413420.07692307694</v>
      </c>
      <c r="Q36" s="635"/>
      <c r="R36" s="635">
        <f>P36</f>
        <v>413420.07692307694</v>
      </c>
      <c r="S36" s="635"/>
      <c r="T36" s="635">
        <f t="shared" si="5"/>
        <v>413420.07692307694</v>
      </c>
    </row>
    <row r="37" spans="1:20">
      <c r="A37" s="634">
        <f t="shared" si="6"/>
        <v>25</v>
      </c>
      <c r="B37" s="951" t="s">
        <v>1306</v>
      </c>
      <c r="C37" s="637">
        <v>1517579.87</v>
      </c>
      <c r="D37" s="841">
        <v>1554769</v>
      </c>
      <c r="E37" s="841">
        <v>1591959</v>
      </c>
      <c r="F37" s="841">
        <v>1629149</v>
      </c>
      <c r="G37" s="841">
        <v>1666339</v>
      </c>
      <c r="H37" s="841">
        <v>1703528</v>
      </c>
      <c r="I37" s="841">
        <v>1740718</v>
      </c>
      <c r="J37" s="841">
        <v>1777908</v>
      </c>
      <c r="K37" s="841">
        <v>1815098</v>
      </c>
      <c r="L37" s="841">
        <v>1852287</v>
      </c>
      <c r="M37" s="841">
        <v>1889477</v>
      </c>
      <c r="N37" s="841">
        <v>1926667</v>
      </c>
      <c r="O37" s="841">
        <v>1961801</v>
      </c>
      <c r="P37" s="635">
        <f t="shared" si="4"/>
        <v>1740559.99</v>
      </c>
      <c r="Q37" s="635"/>
      <c r="R37" s="635">
        <f>P37</f>
        <v>1740559.99</v>
      </c>
      <c r="S37" s="635"/>
      <c r="T37" s="635">
        <f t="shared" si="5"/>
        <v>1740559.99</v>
      </c>
    </row>
    <row r="38" spans="1:20">
      <c r="A38" s="634">
        <f t="shared" si="6"/>
        <v>26</v>
      </c>
      <c r="B38" s="951" t="s">
        <v>1307</v>
      </c>
      <c r="C38" s="637">
        <v>0</v>
      </c>
      <c r="D38" s="841">
        <v>50208</v>
      </c>
      <c r="E38" s="841">
        <v>151221</v>
      </c>
      <c r="F38" s="841">
        <v>256523</v>
      </c>
      <c r="G38" s="841">
        <v>366166</v>
      </c>
      <c r="H38" s="841">
        <v>475712</v>
      </c>
      <c r="I38" s="841">
        <v>586234</v>
      </c>
      <c r="J38" s="841">
        <v>717063</v>
      </c>
      <c r="K38" s="841">
        <v>867355</v>
      </c>
      <c r="L38" s="841">
        <v>1017648</v>
      </c>
      <c r="M38" s="841">
        <v>1167940</v>
      </c>
      <c r="N38" s="841">
        <v>1318233</v>
      </c>
      <c r="O38" s="841">
        <v>1493220</v>
      </c>
      <c r="P38" s="635">
        <f t="shared" si="4"/>
        <v>651347.92307692312</v>
      </c>
      <c r="Q38" s="635"/>
      <c r="R38" s="635">
        <f>P38</f>
        <v>651347.92307692312</v>
      </c>
      <c r="S38" s="635"/>
      <c r="T38" s="635">
        <f t="shared" si="5"/>
        <v>651347.92307692312</v>
      </c>
    </row>
    <row r="39" spans="1:20">
      <c r="A39" s="634">
        <f t="shared" si="6"/>
        <v>27</v>
      </c>
      <c r="B39" s="951" t="s">
        <v>1308</v>
      </c>
      <c r="C39" s="637">
        <v>13487443.130000001</v>
      </c>
      <c r="D39" s="841">
        <v>13699241</v>
      </c>
      <c r="E39" s="841">
        <v>13836482</v>
      </c>
      <c r="F39" s="841">
        <v>13974246</v>
      </c>
      <c r="G39" s="841">
        <v>14111477</v>
      </c>
      <c r="H39" s="841">
        <v>14248708</v>
      </c>
      <c r="I39" s="841">
        <v>14385939</v>
      </c>
      <c r="J39" s="841">
        <v>14523170</v>
      </c>
      <c r="K39" s="841">
        <v>14660401</v>
      </c>
      <c r="L39" s="841">
        <v>14797633</v>
      </c>
      <c r="M39" s="841">
        <v>14934864</v>
      </c>
      <c r="N39" s="841">
        <v>15072095</v>
      </c>
      <c r="O39" s="841">
        <v>15209326</v>
      </c>
      <c r="P39" s="635">
        <f t="shared" si="4"/>
        <v>14380078.856153846</v>
      </c>
      <c r="Q39" s="635"/>
      <c r="R39" s="635">
        <f>P39</f>
        <v>14380078.856153846</v>
      </c>
      <c r="S39" s="635"/>
      <c r="T39" s="635">
        <f t="shared" si="5"/>
        <v>14380078.856153846</v>
      </c>
    </row>
    <row r="40" spans="1:20">
      <c r="A40" s="634">
        <f t="shared" si="6"/>
        <v>28</v>
      </c>
      <c r="B40" s="951" t="s">
        <v>1309</v>
      </c>
      <c r="C40" s="637">
        <v>55406168</v>
      </c>
      <c r="D40" s="841">
        <v>56410430</v>
      </c>
      <c r="E40" s="841">
        <v>57203162</v>
      </c>
      <c r="F40" s="841">
        <v>58148850</v>
      </c>
      <c r="G40" s="841">
        <v>58482382</v>
      </c>
      <c r="H40" s="841">
        <v>59363321</v>
      </c>
      <c r="I40" s="841">
        <v>60236351</v>
      </c>
      <c r="J40" s="841">
        <v>61109377</v>
      </c>
      <c r="K40" s="841">
        <v>61982404</v>
      </c>
      <c r="L40" s="841">
        <v>62874425</v>
      </c>
      <c r="M40" s="841">
        <v>63797057</v>
      </c>
      <c r="N40" s="841">
        <v>64707820</v>
      </c>
      <c r="O40" s="841">
        <v>65618582</v>
      </c>
      <c r="P40" s="635">
        <f t="shared" si="4"/>
        <v>60410794.538461536</v>
      </c>
      <c r="Q40" s="635"/>
      <c r="R40" s="635">
        <f>P40</f>
        <v>60410794.538461536</v>
      </c>
      <c r="S40" s="635"/>
      <c r="T40" s="635">
        <f t="shared" si="5"/>
        <v>60410794.538461536</v>
      </c>
    </row>
    <row r="41" spans="1:20">
      <c r="A41" s="634">
        <f t="shared" si="6"/>
        <v>29</v>
      </c>
      <c r="B41" s="630"/>
      <c r="C41" s="630"/>
      <c r="D41" s="630"/>
      <c r="E41" s="630"/>
      <c r="F41" s="630"/>
      <c r="G41" s="630"/>
      <c r="H41" s="630"/>
      <c r="I41" s="636"/>
      <c r="J41" s="636"/>
      <c r="K41" s="636"/>
      <c r="L41" s="636"/>
      <c r="M41" s="636"/>
      <c r="N41" s="636"/>
      <c r="O41" s="636"/>
      <c r="P41" s="635"/>
      <c r="Q41" s="635"/>
      <c r="R41" s="635"/>
      <c r="S41" s="635"/>
      <c r="T41" s="635">
        <f t="shared" si="5"/>
        <v>0</v>
      </c>
    </row>
    <row r="42" spans="1:20">
      <c r="A42" s="634">
        <f t="shared" si="6"/>
        <v>30</v>
      </c>
      <c r="B42" s="630"/>
      <c r="C42" s="630"/>
      <c r="D42" s="630"/>
      <c r="E42" s="630"/>
      <c r="F42" s="630"/>
      <c r="G42" s="630"/>
      <c r="H42" s="630"/>
      <c r="I42" s="636"/>
      <c r="J42" s="636"/>
      <c r="K42" s="636"/>
      <c r="L42" s="636"/>
      <c r="M42" s="636"/>
      <c r="N42" s="636"/>
      <c r="O42" s="636"/>
      <c r="P42" s="635"/>
      <c r="Q42" s="635"/>
      <c r="R42" s="635"/>
      <c r="S42" s="635"/>
      <c r="T42" s="635">
        <f t="shared" si="5"/>
        <v>0</v>
      </c>
    </row>
    <row r="43" spans="1:20">
      <c r="A43" s="634">
        <f t="shared" si="6"/>
        <v>31</v>
      </c>
      <c r="B43" s="630"/>
      <c r="C43" s="630"/>
      <c r="D43" s="630"/>
      <c r="E43" s="630"/>
      <c r="F43" s="630"/>
      <c r="G43" s="630"/>
      <c r="H43" s="630"/>
      <c r="I43" s="636"/>
      <c r="J43" s="636"/>
      <c r="K43" s="636"/>
      <c r="L43" s="636"/>
      <c r="M43" s="636"/>
      <c r="N43" s="636"/>
      <c r="O43" s="636"/>
      <c r="P43" s="635"/>
      <c r="Q43" s="635"/>
      <c r="R43" s="635"/>
      <c r="S43" s="635"/>
      <c r="T43" s="635">
        <f t="shared" si="5"/>
        <v>0</v>
      </c>
    </row>
    <row r="44" spans="1:20">
      <c r="A44" s="634">
        <f t="shared" si="6"/>
        <v>32</v>
      </c>
      <c r="B44" s="630"/>
      <c r="C44" s="630"/>
      <c r="D44" s="630"/>
      <c r="E44" s="630"/>
      <c r="F44" s="630"/>
      <c r="G44" s="630"/>
      <c r="H44" s="630"/>
      <c r="I44" s="636"/>
      <c r="J44" s="636"/>
      <c r="K44" s="636"/>
      <c r="L44" s="636"/>
      <c r="M44" s="636"/>
      <c r="N44" s="636"/>
      <c r="O44" s="636"/>
      <c r="P44" s="635"/>
      <c r="Q44" s="635"/>
      <c r="R44" s="635"/>
      <c r="S44" s="635"/>
      <c r="T44" s="635">
        <f t="shared" si="5"/>
        <v>0</v>
      </c>
    </row>
    <row r="45" spans="1:20">
      <c r="A45" s="634">
        <f t="shared" si="6"/>
        <v>33</v>
      </c>
      <c r="B45" s="630"/>
      <c r="C45" s="630"/>
      <c r="D45" s="630"/>
      <c r="E45" s="630"/>
      <c r="F45" s="630"/>
      <c r="G45" s="630"/>
      <c r="H45" s="630"/>
      <c r="I45" s="636"/>
      <c r="J45" s="636"/>
      <c r="K45" s="636"/>
      <c r="L45" s="636"/>
      <c r="M45" s="636"/>
      <c r="N45" s="636"/>
      <c r="O45" s="636"/>
      <c r="P45" s="635"/>
      <c r="Q45" s="635"/>
      <c r="R45" s="635"/>
      <c r="S45" s="635"/>
      <c r="T45" s="635">
        <f t="shared" si="5"/>
        <v>0</v>
      </c>
    </row>
    <row r="46" spans="1:20">
      <c r="A46" s="634">
        <f t="shared" si="6"/>
        <v>34</v>
      </c>
      <c r="B46" s="630"/>
      <c r="C46" s="630"/>
      <c r="D46" s="630"/>
      <c r="E46" s="630"/>
      <c r="F46" s="630"/>
      <c r="G46" s="630"/>
      <c r="H46" s="630"/>
      <c r="I46" s="636"/>
      <c r="J46" s="636"/>
      <c r="K46" s="636"/>
      <c r="L46" s="636"/>
      <c r="M46" s="636"/>
      <c r="N46" s="636"/>
      <c r="O46" s="636"/>
      <c r="P46" s="635"/>
      <c r="Q46" s="635"/>
      <c r="R46" s="635"/>
      <c r="S46" s="635"/>
      <c r="T46" s="635">
        <f t="shared" si="5"/>
        <v>0</v>
      </c>
    </row>
    <row r="47" spans="1:20">
      <c r="A47" s="634">
        <f t="shared" si="6"/>
        <v>35</v>
      </c>
      <c r="B47" s="636"/>
      <c r="C47" s="636"/>
      <c r="D47" s="636"/>
      <c r="E47" s="636"/>
      <c r="F47" s="636"/>
      <c r="G47" s="636"/>
      <c r="H47" s="636"/>
      <c r="I47" s="636"/>
      <c r="J47" s="636"/>
      <c r="K47" s="636"/>
      <c r="L47" s="636"/>
      <c r="M47" s="636"/>
      <c r="N47" s="636"/>
      <c r="O47" s="636"/>
      <c r="Q47" s="635"/>
      <c r="R47" s="635"/>
      <c r="S47" s="635"/>
      <c r="T47" s="635">
        <f t="shared" si="5"/>
        <v>0</v>
      </c>
    </row>
    <row r="48" spans="1:20">
      <c r="A48" s="634">
        <f t="shared" si="6"/>
        <v>36</v>
      </c>
      <c r="B48" s="630"/>
      <c r="C48" s="630"/>
      <c r="D48" s="630"/>
      <c r="E48" s="630"/>
      <c r="F48" s="630"/>
      <c r="G48" s="630"/>
      <c r="H48" s="630"/>
      <c r="I48" s="636"/>
      <c r="J48" s="636"/>
      <c r="K48" s="636"/>
      <c r="L48" s="636"/>
      <c r="M48" s="636"/>
      <c r="N48" s="636"/>
      <c r="O48" s="636"/>
      <c r="Q48" s="635"/>
      <c r="R48" s="635"/>
      <c r="S48" s="635"/>
      <c r="T48" s="635">
        <f t="shared" si="5"/>
        <v>0</v>
      </c>
    </row>
    <row r="49" spans="1:20">
      <c r="A49" s="634">
        <f t="shared" si="6"/>
        <v>37</v>
      </c>
      <c r="B49" s="636"/>
      <c r="C49" s="636"/>
      <c r="D49" s="636"/>
      <c r="E49" s="636"/>
      <c r="F49" s="636"/>
      <c r="G49" s="636"/>
      <c r="H49" s="636"/>
      <c r="I49" s="636"/>
      <c r="J49" s="636"/>
      <c r="K49" s="636"/>
      <c r="L49" s="636"/>
      <c r="M49" s="636"/>
      <c r="N49" s="636"/>
      <c r="O49" s="636"/>
      <c r="Q49" s="635"/>
      <c r="R49" s="635"/>
      <c r="S49" s="635"/>
      <c r="T49" s="635">
        <f t="shared" si="5"/>
        <v>0</v>
      </c>
    </row>
    <row r="50" spans="1:20">
      <c r="A50" s="634">
        <f t="shared" si="6"/>
        <v>38</v>
      </c>
      <c r="B50" s="636"/>
      <c r="C50" s="636"/>
      <c r="D50" s="636"/>
      <c r="E50" s="636"/>
      <c r="F50" s="636"/>
      <c r="G50" s="636"/>
      <c r="H50" s="636"/>
      <c r="I50" s="636"/>
      <c r="J50" s="636"/>
      <c r="K50" s="636"/>
      <c r="L50" s="636"/>
      <c r="M50" s="636"/>
      <c r="N50" s="636"/>
      <c r="O50" s="636"/>
      <c r="Q50" s="635"/>
      <c r="R50" s="635"/>
      <c r="S50" s="635"/>
      <c r="T50" s="635">
        <f t="shared" si="5"/>
        <v>0</v>
      </c>
    </row>
    <row r="51" spans="1:20">
      <c r="A51" s="634">
        <f t="shared" si="6"/>
        <v>39</v>
      </c>
      <c r="B51" s="636"/>
      <c r="C51" s="636"/>
      <c r="D51" s="636"/>
      <c r="E51" s="636"/>
      <c r="F51" s="636"/>
      <c r="G51" s="636"/>
      <c r="H51" s="636"/>
      <c r="I51" s="636"/>
      <c r="J51" s="636"/>
      <c r="K51" s="636"/>
      <c r="L51" s="636"/>
      <c r="M51" s="636"/>
      <c r="N51" s="636"/>
      <c r="O51" s="636"/>
      <c r="Q51" s="635"/>
      <c r="R51" s="635"/>
      <c r="S51" s="635"/>
      <c r="T51" s="635">
        <f t="shared" si="5"/>
        <v>0</v>
      </c>
    </row>
    <row r="52" spans="1:20">
      <c r="A52" s="634">
        <f t="shared" si="6"/>
        <v>40</v>
      </c>
      <c r="B52" s="627" t="s">
        <v>13</v>
      </c>
      <c r="C52" s="635">
        <f t="shared" ref="C52:O52" si="7">SUM(C34:C51)</f>
        <v>76419688</v>
      </c>
      <c r="D52" s="635">
        <f t="shared" si="7"/>
        <v>78061283</v>
      </c>
      <c r="E52" s="635">
        <f t="shared" si="7"/>
        <v>79550762</v>
      </c>
      <c r="F52" s="635">
        <f t="shared" si="7"/>
        <v>80016293</v>
      </c>
      <c r="G52" s="635">
        <f t="shared" si="7"/>
        <v>81021403</v>
      </c>
      <c r="H52" s="635">
        <f t="shared" si="7"/>
        <v>82588294</v>
      </c>
      <c r="I52" s="635">
        <f t="shared" si="7"/>
        <v>84172457</v>
      </c>
      <c r="J52" s="635">
        <f t="shared" si="7"/>
        <v>85676129</v>
      </c>
      <c r="K52" s="635">
        <f t="shared" si="7"/>
        <v>87265651</v>
      </c>
      <c r="L52" s="635">
        <f t="shared" si="7"/>
        <v>88877223</v>
      </c>
      <c r="M52" s="635">
        <f t="shared" si="7"/>
        <v>90519803</v>
      </c>
      <c r="N52" s="635">
        <f t="shared" si="7"/>
        <v>92153421</v>
      </c>
      <c r="O52" s="635">
        <f t="shared" si="7"/>
        <v>93824262</v>
      </c>
      <c r="P52" s="635">
        <f>AVERAGE(C52:O52)</f>
        <v>84626666.84615384</v>
      </c>
      <c r="Q52" s="635">
        <f>SUM(Q34:Q51)</f>
        <v>2951738.6153846155</v>
      </c>
      <c r="R52" s="635">
        <f>SUM(R34:R51)</f>
        <v>77596201.384615377</v>
      </c>
      <c r="S52" s="635">
        <f>SUM(S34:S51)</f>
        <v>4078726.846153846</v>
      </c>
      <c r="T52" s="635">
        <f t="shared" si="5"/>
        <v>84626666.846153826</v>
      </c>
    </row>
    <row r="53" spans="1:20">
      <c r="A53" s="634">
        <f t="shared" si="6"/>
        <v>41</v>
      </c>
      <c r="B53" s="627"/>
      <c r="C53" s="635"/>
      <c r="D53" s="635"/>
      <c r="E53" s="635"/>
      <c r="F53" s="635"/>
      <c r="G53" s="635"/>
      <c r="H53" s="635"/>
      <c r="I53" s="635"/>
      <c r="J53" s="635"/>
      <c r="K53" s="635"/>
      <c r="L53" s="635"/>
      <c r="M53" s="635"/>
      <c r="N53" s="635"/>
      <c r="O53" s="635"/>
      <c r="P53" s="639" t="s">
        <v>742</v>
      </c>
      <c r="Q53" s="638">
        <f>Q28</f>
        <v>1</v>
      </c>
      <c r="R53" s="638">
        <f>R28</f>
        <v>0</v>
      </c>
      <c r="S53" s="638">
        <f>S28</f>
        <v>0.1176002587197187</v>
      </c>
      <c r="T53" s="635"/>
    </row>
    <row r="54" spans="1:20">
      <c r="A54" s="634">
        <f t="shared" si="6"/>
        <v>42</v>
      </c>
      <c r="B54" s="627"/>
      <c r="C54" s="635"/>
      <c r="D54" s="635"/>
      <c r="E54" s="635"/>
      <c r="F54" s="635"/>
      <c r="G54" s="635"/>
      <c r="H54" s="635"/>
      <c r="I54" s="635"/>
      <c r="J54" s="635"/>
      <c r="K54" s="635"/>
      <c r="L54" s="635"/>
      <c r="M54" s="635"/>
      <c r="N54" s="635"/>
      <c r="O54" s="635"/>
      <c r="P54" s="639" t="s">
        <v>866</v>
      </c>
      <c r="Q54" s="635">
        <f>Q52*Q53</f>
        <v>2951738.6153846155</v>
      </c>
      <c r="R54" s="635">
        <f>R52*R53</f>
        <v>0</v>
      </c>
      <c r="S54" s="635">
        <f>S52*S53</f>
        <v>479659.33235475456</v>
      </c>
      <c r="T54" s="635">
        <f>SUM(Q54:S54)</f>
        <v>3431397.9477393702</v>
      </c>
    </row>
    <row r="55" spans="1:20">
      <c r="C55" s="632" t="str">
        <f>B1</f>
        <v>PECO Energy Company</v>
      </c>
    </row>
    <row r="56" spans="1:20">
      <c r="B56" s="1007"/>
      <c r="C56" s="1007"/>
      <c r="D56" s="1007"/>
      <c r="E56" s="1007"/>
      <c r="F56" s="1007"/>
      <c r="G56" s="1007"/>
      <c r="H56" s="1007"/>
      <c r="T56" s="631" t="s">
        <v>161</v>
      </c>
    </row>
    <row r="57" spans="1:20">
      <c r="B57" s="1006" t="s">
        <v>684</v>
      </c>
      <c r="C57" s="1006"/>
      <c r="D57" s="1006"/>
      <c r="E57" s="1006"/>
      <c r="F57" s="1006"/>
      <c r="G57" s="1006"/>
    </row>
    <row r="58" spans="1:20">
      <c r="A58" s="839"/>
      <c r="B58" s="839"/>
    </row>
    <row r="59" spans="1:20">
      <c r="B59" s="627" t="s">
        <v>209</v>
      </c>
      <c r="C59" s="627" t="s">
        <v>210</v>
      </c>
      <c r="D59" s="627" t="s">
        <v>211</v>
      </c>
      <c r="E59" s="627" t="s">
        <v>212</v>
      </c>
      <c r="F59" s="627" t="s">
        <v>214</v>
      </c>
      <c r="G59" s="627" t="s">
        <v>213</v>
      </c>
      <c r="H59" s="627" t="s">
        <v>215</v>
      </c>
      <c r="I59" s="627" t="s">
        <v>216</v>
      </c>
      <c r="J59" s="627" t="s">
        <v>217</v>
      </c>
      <c r="K59" s="627" t="s">
        <v>259</v>
      </c>
      <c r="L59" s="627" t="s">
        <v>263</v>
      </c>
      <c r="M59" s="627" t="s">
        <v>502</v>
      </c>
      <c r="N59" s="627" t="s">
        <v>859</v>
      </c>
      <c r="O59" s="627" t="s">
        <v>860</v>
      </c>
      <c r="P59" s="627" t="s">
        <v>861</v>
      </c>
      <c r="Q59" s="627" t="s">
        <v>862</v>
      </c>
      <c r="R59" s="627" t="s">
        <v>863</v>
      </c>
      <c r="S59" s="627" t="s">
        <v>864</v>
      </c>
      <c r="T59" s="627" t="s">
        <v>867</v>
      </c>
    </row>
    <row r="60" spans="1:20">
      <c r="B60" s="629" t="s">
        <v>865</v>
      </c>
      <c r="C60" s="633" t="s">
        <v>206</v>
      </c>
      <c r="D60" s="627" t="s">
        <v>89</v>
      </c>
      <c r="E60" s="627" t="s">
        <v>88</v>
      </c>
      <c r="F60" s="627" t="s">
        <v>87</v>
      </c>
      <c r="G60" s="627" t="s">
        <v>79</v>
      </c>
      <c r="H60" s="627" t="s">
        <v>78</v>
      </c>
      <c r="I60" s="627" t="s">
        <v>98</v>
      </c>
      <c r="J60" s="627" t="s">
        <v>86</v>
      </c>
      <c r="K60" s="627" t="s">
        <v>85</v>
      </c>
      <c r="L60" s="627" t="s">
        <v>84</v>
      </c>
      <c r="M60" s="627" t="s">
        <v>90</v>
      </c>
      <c r="N60" s="627" t="s">
        <v>83</v>
      </c>
      <c r="O60" s="627" t="s">
        <v>82</v>
      </c>
      <c r="P60" s="627" t="s">
        <v>531</v>
      </c>
      <c r="Q60" s="631" t="s">
        <v>17</v>
      </c>
      <c r="R60" s="631" t="s">
        <v>858</v>
      </c>
      <c r="S60" s="631" t="s">
        <v>725</v>
      </c>
      <c r="T60" s="640" t="s">
        <v>13</v>
      </c>
    </row>
    <row r="61" spans="1:20">
      <c r="B61" s="629" t="str">
        <f>B7&amp;" Minus "&amp;B32</f>
        <v>Gross Plant Minus Accumulated Depreciation</v>
      </c>
      <c r="C61" s="633"/>
      <c r="D61" s="627"/>
      <c r="E61" s="627"/>
      <c r="F61" s="627"/>
      <c r="G61" s="627"/>
      <c r="H61" s="627"/>
      <c r="I61" s="627"/>
      <c r="J61" s="627"/>
      <c r="K61" s="627"/>
      <c r="L61" s="627"/>
      <c r="M61" s="627"/>
      <c r="N61" s="627"/>
      <c r="O61" s="627"/>
      <c r="P61" s="641" t="s">
        <v>868</v>
      </c>
      <c r="T61" s="642" t="s">
        <v>869</v>
      </c>
    </row>
    <row r="62" spans="1:20">
      <c r="A62" s="634">
        <f>A54+1</f>
        <v>43</v>
      </c>
      <c r="B62" s="951" t="str">
        <f t="shared" ref="B62:B68" si="8">B34</f>
        <v xml:space="preserve">Intangibles - General </v>
      </c>
      <c r="C62" s="628">
        <f t="shared" ref="C62:C79" si="9">C9-C34</f>
        <v>6386537</v>
      </c>
      <c r="D62" s="628">
        <f t="shared" ref="D62:O62" si="10">D9-D34</f>
        <v>9958979</v>
      </c>
      <c r="E62" s="628">
        <f t="shared" si="10"/>
        <v>10544688</v>
      </c>
      <c r="F62" s="628">
        <f t="shared" si="10"/>
        <v>8708214</v>
      </c>
      <c r="G62" s="628">
        <f t="shared" si="10"/>
        <v>8544689</v>
      </c>
      <c r="H62" s="628">
        <f t="shared" si="10"/>
        <v>10468366</v>
      </c>
      <c r="I62" s="628">
        <f t="shared" si="10"/>
        <v>11094926</v>
      </c>
      <c r="J62" s="628">
        <f t="shared" si="10"/>
        <v>8716687</v>
      </c>
      <c r="K62" s="628">
        <f t="shared" si="10"/>
        <v>8729206</v>
      </c>
      <c r="L62" s="628">
        <f t="shared" si="10"/>
        <v>8719776</v>
      </c>
      <c r="M62" s="628">
        <f t="shared" si="10"/>
        <v>8480954</v>
      </c>
      <c r="N62" s="628">
        <f t="shared" si="10"/>
        <v>8471118</v>
      </c>
      <c r="O62" s="628">
        <f t="shared" si="10"/>
        <v>9409518</v>
      </c>
      <c r="P62" s="635">
        <f>AVERAGE(C62:O62)</f>
        <v>9094896.7692307699</v>
      </c>
      <c r="Q62" s="635"/>
      <c r="R62" s="635"/>
      <c r="S62" s="635">
        <f>P62</f>
        <v>9094896.7692307699</v>
      </c>
      <c r="T62" s="635">
        <f>SUM(Q62:S62)</f>
        <v>9094896.7692307699</v>
      </c>
    </row>
    <row r="63" spans="1:20">
      <c r="A63" s="634">
        <f>A62+1</f>
        <v>44</v>
      </c>
      <c r="B63" s="951" t="str">
        <f t="shared" si="8"/>
        <v>IT NERC CIP - Transmission</v>
      </c>
      <c r="C63" s="628">
        <f t="shared" si="9"/>
        <v>9460043</v>
      </c>
      <c r="D63" s="628">
        <f t="shared" ref="D63:O63" si="11">D10-D35</f>
        <v>9270575</v>
      </c>
      <c r="E63" s="628">
        <f t="shared" si="11"/>
        <v>9078877</v>
      </c>
      <c r="F63" s="628">
        <f t="shared" si="11"/>
        <v>8917465</v>
      </c>
      <c r="G63" s="628">
        <f t="shared" si="11"/>
        <v>8727245</v>
      </c>
      <c r="H63" s="628">
        <f t="shared" si="11"/>
        <v>8480072</v>
      </c>
      <c r="I63" s="628">
        <f t="shared" si="11"/>
        <v>8522183</v>
      </c>
      <c r="J63" s="628">
        <f t="shared" si="11"/>
        <v>7814164</v>
      </c>
      <c r="K63" s="628">
        <f t="shared" si="11"/>
        <v>7668757</v>
      </c>
      <c r="L63" s="628">
        <f t="shared" si="11"/>
        <v>7476303</v>
      </c>
      <c r="M63" s="628">
        <f t="shared" si="11"/>
        <v>7281012</v>
      </c>
      <c r="N63" s="628">
        <f t="shared" si="11"/>
        <v>7277127</v>
      </c>
      <c r="O63" s="628">
        <f t="shared" si="11"/>
        <v>7266603</v>
      </c>
      <c r="P63" s="635">
        <f t="shared" ref="P63:P68" si="12">AVERAGE(C63:O63)</f>
        <v>8249263.538461538</v>
      </c>
      <c r="Q63" s="635">
        <f>P63</f>
        <v>8249263.538461538</v>
      </c>
      <c r="R63" s="635"/>
      <c r="S63" s="635"/>
      <c r="T63" s="635">
        <f t="shared" ref="T63:T79" si="13">SUM(Q63:S63)</f>
        <v>8249263.538461538</v>
      </c>
    </row>
    <row r="64" spans="1:20">
      <c r="A64" s="634">
        <f t="shared" ref="A64:A82" si="14">A63+1</f>
        <v>45</v>
      </c>
      <c r="B64" s="951" t="str">
        <f t="shared" si="8"/>
        <v>IT NERC CIP - Distribution</v>
      </c>
      <c r="C64" s="628">
        <f t="shared" si="9"/>
        <v>1365104</v>
      </c>
      <c r="D64" s="628">
        <f t="shared" ref="D64:O64" si="15">D11-D36</f>
        <v>1337706</v>
      </c>
      <c r="E64" s="628">
        <f t="shared" si="15"/>
        <v>1309930</v>
      </c>
      <c r="F64" s="628">
        <f t="shared" si="15"/>
        <v>1285379</v>
      </c>
      <c r="G64" s="628">
        <f t="shared" si="15"/>
        <v>1257760</v>
      </c>
      <c r="H64" s="628">
        <f t="shared" si="15"/>
        <v>1290486</v>
      </c>
      <c r="I64" s="628">
        <f t="shared" si="15"/>
        <v>1494279</v>
      </c>
      <c r="J64" s="628">
        <f t="shared" si="15"/>
        <v>1361524</v>
      </c>
      <c r="K64" s="628">
        <f t="shared" si="15"/>
        <v>1367911</v>
      </c>
      <c r="L64" s="628">
        <f t="shared" si="15"/>
        <v>1327250</v>
      </c>
      <c r="M64" s="628">
        <f t="shared" si="15"/>
        <v>1283745</v>
      </c>
      <c r="N64" s="628">
        <f t="shared" si="15"/>
        <v>1338475</v>
      </c>
      <c r="O64" s="628">
        <f t="shared" si="15"/>
        <v>1455522</v>
      </c>
      <c r="P64" s="635">
        <f t="shared" si="12"/>
        <v>1344236.2307692308</v>
      </c>
      <c r="Q64" s="635"/>
      <c r="R64" s="635">
        <f>P64</f>
        <v>1344236.2307692308</v>
      </c>
      <c r="S64" s="635"/>
      <c r="T64" s="635">
        <f t="shared" si="13"/>
        <v>1344236.2307692308</v>
      </c>
    </row>
    <row r="65" spans="1:20">
      <c r="A65" s="634">
        <f t="shared" si="14"/>
        <v>46</v>
      </c>
      <c r="B65" s="951" t="str">
        <f t="shared" si="8"/>
        <v>IT DSP - Distribution</v>
      </c>
      <c r="C65" s="628">
        <f t="shared" si="9"/>
        <v>713804.14999999991</v>
      </c>
      <c r="D65" s="628">
        <f t="shared" ref="D65:O65" si="16">D12-D37</f>
        <v>676615</v>
      </c>
      <c r="E65" s="628">
        <f t="shared" si="16"/>
        <v>639425</v>
      </c>
      <c r="F65" s="628">
        <f t="shared" si="16"/>
        <v>602235</v>
      </c>
      <c r="G65" s="628">
        <f t="shared" si="16"/>
        <v>565045</v>
      </c>
      <c r="H65" s="628">
        <f t="shared" si="16"/>
        <v>527856</v>
      </c>
      <c r="I65" s="628">
        <f t="shared" si="16"/>
        <v>490666</v>
      </c>
      <c r="J65" s="628">
        <f t="shared" si="16"/>
        <v>453476</v>
      </c>
      <c r="K65" s="628">
        <f t="shared" si="16"/>
        <v>416286</v>
      </c>
      <c r="L65" s="628">
        <f t="shared" si="16"/>
        <v>379097</v>
      </c>
      <c r="M65" s="628">
        <f t="shared" si="16"/>
        <v>341907</v>
      </c>
      <c r="N65" s="628">
        <f t="shared" si="16"/>
        <v>304717</v>
      </c>
      <c r="O65" s="628">
        <f t="shared" si="16"/>
        <v>269583</v>
      </c>
      <c r="P65" s="635">
        <f t="shared" si="12"/>
        <v>490824.01153846155</v>
      </c>
      <c r="Q65" s="635"/>
      <c r="R65" s="635">
        <f>P65</f>
        <v>490824.01153846155</v>
      </c>
      <c r="S65" s="635"/>
      <c r="T65" s="635">
        <f t="shared" si="13"/>
        <v>490824.01153846155</v>
      </c>
    </row>
    <row r="66" spans="1:20">
      <c r="A66" s="634">
        <f t="shared" si="14"/>
        <v>47</v>
      </c>
      <c r="B66" s="951" t="str">
        <f t="shared" si="8"/>
        <v>IT BIDA - Distribution</v>
      </c>
      <c r="C66" s="628">
        <f t="shared" si="9"/>
        <v>0</v>
      </c>
      <c r="D66" s="628">
        <f t="shared" ref="D66:O66" si="17">D13-D38</f>
        <v>8485139</v>
      </c>
      <c r="E66" s="628">
        <f t="shared" si="17"/>
        <v>8384126</v>
      </c>
      <c r="F66" s="628">
        <f t="shared" si="17"/>
        <v>8990670</v>
      </c>
      <c r="G66" s="628">
        <f t="shared" si="17"/>
        <v>8881027</v>
      </c>
      <c r="H66" s="628">
        <f t="shared" si="17"/>
        <v>8755890</v>
      </c>
      <c r="I66" s="628">
        <f t="shared" si="17"/>
        <v>8817224</v>
      </c>
      <c r="J66" s="628">
        <f t="shared" si="17"/>
        <v>11722819</v>
      </c>
      <c r="K66" s="628">
        <f t="shared" si="17"/>
        <v>11572527</v>
      </c>
      <c r="L66" s="628">
        <f t="shared" si="17"/>
        <v>11422234</v>
      </c>
      <c r="M66" s="628">
        <f t="shared" si="17"/>
        <v>11271942</v>
      </c>
      <c r="N66" s="628">
        <f t="shared" si="17"/>
        <v>11121649</v>
      </c>
      <c r="O66" s="628">
        <f t="shared" si="17"/>
        <v>14601436</v>
      </c>
      <c r="P66" s="635">
        <f t="shared" si="12"/>
        <v>9540514.0769230761</v>
      </c>
      <c r="Q66" s="635"/>
      <c r="R66" s="635">
        <f>P66</f>
        <v>9540514.0769230761</v>
      </c>
      <c r="S66" s="635"/>
      <c r="T66" s="635">
        <f t="shared" si="13"/>
        <v>9540514.0769230761</v>
      </c>
    </row>
    <row r="67" spans="1:20">
      <c r="A67" s="634">
        <f t="shared" si="14"/>
        <v>48</v>
      </c>
      <c r="B67" s="951" t="str">
        <f t="shared" si="8"/>
        <v>IT Post 2010 and Other - Distribution</v>
      </c>
      <c r="C67" s="628">
        <f t="shared" si="9"/>
        <v>5675255.8499999996</v>
      </c>
      <c r="D67" s="628">
        <f t="shared" ref="D67:O67" si="18">D14-D39</f>
        <v>5939013</v>
      </c>
      <c r="E67" s="628">
        <f t="shared" si="18"/>
        <v>5801772</v>
      </c>
      <c r="F67" s="628">
        <f t="shared" si="18"/>
        <v>5664008</v>
      </c>
      <c r="G67" s="628">
        <f t="shared" si="18"/>
        <v>5526777</v>
      </c>
      <c r="H67" s="628">
        <f t="shared" si="18"/>
        <v>5389546</v>
      </c>
      <c r="I67" s="628">
        <f t="shared" si="18"/>
        <v>5252315</v>
      </c>
      <c r="J67" s="628">
        <f t="shared" si="18"/>
        <v>5115084</v>
      </c>
      <c r="K67" s="628">
        <f t="shared" si="18"/>
        <v>4977853</v>
      </c>
      <c r="L67" s="628">
        <f t="shared" si="18"/>
        <v>4840621</v>
      </c>
      <c r="M67" s="628">
        <f t="shared" si="18"/>
        <v>4703390</v>
      </c>
      <c r="N67" s="628">
        <f t="shared" si="18"/>
        <v>4566159</v>
      </c>
      <c r="O67" s="628">
        <f t="shared" si="18"/>
        <v>4428928</v>
      </c>
      <c r="P67" s="635">
        <f t="shared" si="12"/>
        <v>5221593.9884615382</v>
      </c>
      <c r="Q67" s="635"/>
      <c r="R67" s="635">
        <f>P67</f>
        <v>5221593.9884615382</v>
      </c>
      <c r="S67" s="635"/>
      <c r="T67" s="635">
        <f t="shared" si="13"/>
        <v>5221593.9884615382</v>
      </c>
    </row>
    <row r="68" spans="1:20">
      <c r="A68" s="634">
        <f t="shared" si="14"/>
        <v>49</v>
      </c>
      <c r="B68" s="951" t="str">
        <f t="shared" si="8"/>
        <v>IT Smart Meter - Distribution</v>
      </c>
      <c r="C68" s="628">
        <f t="shared" si="9"/>
        <v>28356848</v>
      </c>
      <c r="D68" s="628">
        <f t="shared" ref="D68:O68" si="19">D15-D40</f>
        <v>27380950</v>
      </c>
      <c r="E68" s="628">
        <f t="shared" si="19"/>
        <v>27070739</v>
      </c>
      <c r="F68" s="628">
        <f t="shared" si="19"/>
        <v>26186585</v>
      </c>
      <c r="G68" s="628">
        <f t="shared" si="19"/>
        <v>25348404</v>
      </c>
      <c r="H68" s="628">
        <f t="shared" si="19"/>
        <v>24467333</v>
      </c>
      <c r="I68" s="628">
        <f t="shared" si="19"/>
        <v>23594328</v>
      </c>
      <c r="J68" s="628">
        <f t="shared" si="19"/>
        <v>22721302</v>
      </c>
      <c r="K68" s="628">
        <f t="shared" si="19"/>
        <v>21848275</v>
      </c>
      <c r="L68" s="628">
        <f t="shared" si="19"/>
        <v>23235659</v>
      </c>
      <c r="M68" s="628">
        <f t="shared" si="19"/>
        <v>22313027</v>
      </c>
      <c r="N68" s="628">
        <f t="shared" si="19"/>
        <v>21402264</v>
      </c>
      <c r="O68" s="628">
        <f t="shared" si="19"/>
        <v>20491502</v>
      </c>
      <c r="P68" s="635">
        <f t="shared" si="12"/>
        <v>24185939.692307692</v>
      </c>
      <c r="Q68" s="635"/>
      <c r="R68" s="635">
        <f>P68</f>
        <v>24185939.692307692</v>
      </c>
      <c r="S68" s="635"/>
      <c r="T68" s="635">
        <f t="shared" si="13"/>
        <v>24185939.692307692</v>
      </c>
    </row>
    <row r="69" spans="1:20">
      <c r="A69" s="634">
        <f t="shared" si="14"/>
        <v>50</v>
      </c>
      <c r="B69" s="630"/>
      <c r="C69" s="628">
        <f t="shared" si="9"/>
        <v>0</v>
      </c>
      <c r="D69" s="628">
        <f t="shared" ref="D69:O69" si="20">D16-D41</f>
        <v>0</v>
      </c>
      <c r="E69" s="628">
        <f t="shared" si="20"/>
        <v>0</v>
      </c>
      <c r="F69" s="628">
        <f t="shared" si="20"/>
        <v>0</v>
      </c>
      <c r="G69" s="628">
        <f t="shared" si="20"/>
        <v>0</v>
      </c>
      <c r="H69" s="628">
        <f t="shared" si="20"/>
        <v>0</v>
      </c>
      <c r="I69" s="628">
        <f t="shared" si="20"/>
        <v>0</v>
      </c>
      <c r="J69" s="628">
        <f t="shared" si="20"/>
        <v>0</v>
      </c>
      <c r="K69" s="628">
        <f t="shared" si="20"/>
        <v>0</v>
      </c>
      <c r="L69" s="628">
        <f t="shared" si="20"/>
        <v>0</v>
      </c>
      <c r="M69" s="628">
        <f t="shared" si="20"/>
        <v>0</v>
      </c>
      <c r="N69" s="628">
        <f t="shared" si="20"/>
        <v>0</v>
      </c>
      <c r="O69" s="628">
        <f t="shared" si="20"/>
        <v>0</v>
      </c>
      <c r="P69" s="635"/>
      <c r="Q69" s="635"/>
      <c r="R69" s="635"/>
      <c r="S69" s="635"/>
      <c r="T69" s="635">
        <f t="shared" si="13"/>
        <v>0</v>
      </c>
    </row>
    <row r="70" spans="1:20">
      <c r="A70" s="634">
        <f t="shared" si="14"/>
        <v>51</v>
      </c>
      <c r="B70" s="630"/>
      <c r="C70" s="628">
        <f t="shared" si="9"/>
        <v>0</v>
      </c>
      <c r="D70" s="628">
        <f t="shared" ref="D70:O70" si="21">D17-D42</f>
        <v>0</v>
      </c>
      <c r="E70" s="628">
        <f t="shared" si="21"/>
        <v>0</v>
      </c>
      <c r="F70" s="628">
        <f t="shared" si="21"/>
        <v>0</v>
      </c>
      <c r="G70" s="628">
        <f t="shared" si="21"/>
        <v>0</v>
      </c>
      <c r="H70" s="628">
        <f t="shared" si="21"/>
        <v>0</v>
      </c>
      <c r="I70" s="628">
        <f t="shared" si="21"/>
        <v>0</v>
      </c>
      <c r="J70" s="628">
        <f t="shared" si="21"/>
        <v>0</v>
      </c>
      <c r="K70" s="628">
        <f t="shared" si="21"/>
        <v>0</v>
      </c>
      <c r="L70" s="628">
        <f t="shared" si="21"/>
        <v>0</v>
      </c>
      <c r="M70" s="628">
        <f t="shared" si="21"/>
        <v>0</v>
      </c>
      <c r="N70" s="628">
        <f t="shared" si="21"/>
        <v>0</v>
      </c>
      <c r="O70" s="628">
        <f t="shared" si="21"/>
        <v>0</v>
      </c>
      <c r="P70" s="635"/>
      <c r="Q70" s="635"/>
      <c r="R70" s="635"/>
      <c r="S70" s="635"/>
      <c r="T70" s="635">
        <f t="shared" si="13"/>
        <v>0</v>
      </c>
    </row>
    <row r="71" spans="1:20">
      <c r="A71" s="634">
        <f t="shared" si="14"/>
        <v>52</v>
      </c>
      <c r="B71" s="630"/>
      <c r="C71" s="628">
        <f t="shared" si="9"/>
        <v>0</v>
      </c>
      <c r="D71" s="628">
        <f t="shared" ref="D71:O71" si="22">D18-D43</f>
        <v>0</v>
      </c>
      <c r="E71" s="628">
        <f t="shared" si="22"/>
        <v>0</v>
      </c>
      <c r="F71" s="628">
        <f t="shared" si="22"/>
        <v>0</v>
      </c>
      <c r="G71" s="628">
        <f t="shared" si="22"/>
        <v>0</v>
      </c>
      <c r="H71" s="628">
        <f t="shared" si="22"/>
        <v>0</v>
      </c>
      <c r="I71" s="628">
        <f t="shared" si="22"/>
        <v>0</v>
      </c>
      <c r="J71" s="628">
        <f t="shared" si="22"/>
        <v>0</v>
      </c>
      <c r="K71" s="628">
        <f t="shared" si="22"/>
        <v>0</v>
      </c>
      <c r="L71" s="628">
        <f t="shared" si="22"/>
        <v>0</v>
      </c>
      <c r="M71" s="628">
        <f t="shared" si="22"/>
        <v>0</v>
      </c>
      <c r="N71" s="628">
        <f t="shared" si="22"/>
        <v>0</v>
      </c>
      <c r="O71" s="628">
        <f t="shared" si="22"/>
        <v>0</v>
      </c>
      <c r="P71" s="635"/>
      <c r="Q71" s="635"/>
      <c r="R71" s="635"/>
      <c r="S71" s="635"/>
      <c r="T71" s="635">
        <f t="shared" si="13"/>
        <v>0</v>
      </c>
    </row>
    <row r="72" spans="1:20">
      <c r="A72" s="634">
        <f t="shared" si="14"/>
        <v>53</v>
      </c>
      <c r="B72" s="630"/>
      <c r="C72" s="628">
        <f t="shared" si="9"/>
        <v>0</v>
      </c>
      <c r="D72" s="628">
        <f t="shared" ref="D72:O72" si="23">D19-D44</f>
        <v>0</v>
      </c>
      <c r="E72" s="628">
        <f t="shared" si="23"/>
        <v>0</v>
      </c>
      <c r="F72" s="628">
        <f t="shared" si="23"/>
        <v>0</v>
      </c>
      <c r="G72" s="628">
        <f t="shared" si="23"/>
        <v>0</v>
      </c>
      <c r="H72" s="628">
        <f t="shared" si="23"/>
        <v>0</v>
      </c>
      <c r="I72" s="628">
        <f t="shared" si="23"/>
        <v>0</v>
      </c>
      <c r="J72" s="628">
        <f t="shared" si="23"/>
        <v>0</v>
      </c>
      <c r="K72" s="628">
        <f t="shared" si="23"/>
        <v>0</v>
      </c>
      <c r="L72" s="628">
        <f t="shared" si="23"/>
        <v>0</v>
      </c>
      <c r="M72" s="628">
        <f t="shared" si="23"/>
        <v>0</v>
      </c>
      <c r="N72" s="628">
        <f t="shared" si="23"/>
        <v>0</v>
      </c>
      <c r="O72" s="628">
        <f t="shared" si="23"/>
        <v>0</v>
      </c>
      <c r="P72" s="635"/>
      <c r="Q72" s="635"/>
      <c r="R72" s="635"/>
      <c r="S72" s="635"/>
      <c r="T72" s="635">
        <f t="shared" si="13"/>
        <v>0</v>
      </c>
    </row>
    <row r="73" spans="1:20">
      <c r="A73" s="634">
        <f t="shared" si="14"/>
        <v>54</v>
      </c>
      <c r="B73" s="630"/>
      <c r="C73" s="628">
        <f t="shared" si="9"/>
        <v>0</v>
      </c>
      <c r="D73" s="628">
        <f t="shared" ref="D73:O73" si="24">D20-D45</f>
        <v>0</v>
      </c>
      <c r="E73" s="628">
        <f t="shared" si="24"/>
        <v>0</v>
      </c>
      <c r="F73" s="628">
        <f t="shared" si="24"/>
        <v>0</v>
      </c>
      <c r="G73" s="628">
        <f t="shared" si="24"/>
        <v>0</v>
      </c>
      <c r="H73" s="628">
        <f t="shared" si="24"/>
        <v>0</v>
      </c>
      <c r="I73" s="628">
        <f t="shared" si="24"/>
        <v>0</v>
      </c>
      <c r="J73" s="628">
        <f t="shared" si="24"/>
        <v>0</v>
      </c>
      <c r="K73" s="628">
        <f t="shared" si="24"/>
        <v>0</v>
      </c>
      <c r="L73" s="628">
        <f t="shared" si="24"/>
        <v>0</v>
      </c>
      <c r="M73" s="628">
        <f t="shared" si="24"/>
        <v>0</v>
      </c>
      <c r="N73" s="628">
        <f t="shared" si="24"/>
        <v>0</v>
      </c>
      <c r="O73" s="628">
        <f t="shared" si="24"/>
        <v>0</v>
      </c>
      <c r="P73" s="635"/>
      <c r="Q73" s="635"/>
      <c r="R73" s="635"/>
      <c r="S73" s="635"/>
      <c r="T73" s="635">
        <f t="shared" si="13"/>
        <v>0</v>
      </c>
    </row>
    <row r="74" spans="1:20">
      <c r="A74" s="634">
        <f t="shared" si="14"/>
        <v>55</v>
      </c>
      <c r="B74" s="630"/>
      <c r="C74" s="628">
        <f t="shared" si="9"/>
        <v>0</v>
      </c>
      <c r="D74" s="628">
        <f t="shared" ref="D74:O74" si="25">D21-D46</f>
        <v>0</v>
      </c>
      <c r="E74" s="628">
        <f t="shared" si="25"/>
        <v>0</v>
      </c>
      <c r="F74" s="628">
        <f t="shared" si="25"/>
        <v>0</v>
      </c>
      <c r="G74" s="628">
        <f t="shared" si="25"/>
        <v>0</v>
      </c>
      <c r="H74" s="628">
        <f t="shared" si="25"/>
        <v>0</v>
      </c>
      <c r="I74" s="628">
        <f t="shared" si="25"/>
        <v>0</v>
      </c>
      <c r="J74" s="628">
        <f t="shared" si="25"/>
        <v>0</v>
      </c>
      <c r="K74" s="628">
        <f t="shared" si="25"/>
        <v>0</v>
      </c>
      <c r="L74" s="628">
        <f t="shared" si="25"/>
        <v>0</v>
      </c>
      <c r="M74" s="628">
        <f t="shared" si="25"/>
        <v>0</v>
      </c>
      <c r="N74" s="628">
        <f t="shared" si="25"/>
        <v>0</v>
      </c>
      <c r="O74" s="628">
        <f t="shared" si="25"/>
        <v>0</v>
      </c>
      <c r="P74" s="635"/>
      <c r="Q74" s="635"/>
      <c r="R74" s="635"/>
      <c r="S74" s="635"/>
      <c r="T74" s="635">
        <f t="shared" si="13"/>
        <v>0</v>
      </c>
    </row>
    <row r="75" spans="1:20">
      <c r="A75" s="634">
        <f t="shared" si="14"/>
        <v>56</v>
      </c>
      <c r="B75" s="636"/>
      <c r="C75" s="628">
        <f t="shared" si="9"/>
        <v>0</v>
      </c>
      <c r="D75" s="628">
        <f t="shared" ref="D75:O75" si="26">D22-D47</f>
        <v>0</v>
      </c>
      <c r="E75" s="628">
        <f t="shared" si="26"/>
        <v>0</v>
      </c>
      <c r="F75" s="628">
        <f t="shared" si="26"/>
        <v>0</v>
      </c>
      <c r="G75" s="628">
        <f t="shared" si="26"/>
        <v>0</v>
      </c>
      <c r="H75" s="628">
        <f t="shared" si="26"/>
        <v>0</v>
      </c>
      <c r="I75" s="628">
        <f t="shared" si="26"/>
        <v>0</v>
      </c>
      <c r="J75" s="628">
        <f t="shared" si="26"/>
        <v>0</v>
      </c>
      <c r="K75" s="628">
        <f t="shared" si="26"/>
        <v>0</v>
      </c>
      <c r="L75" s="628">
        <f t="shared" si="26"/>
        <v>0</v>
      </c>
      <c r="M75" s="628">
        <f t="shared" si="26"/>
        <v>0</v>
      </c>
      <c r="N75" s="628">
        <f t="shared" si="26"/>
        <v>0</v>
      </c>
      <c r="O75" s="628">
        <f t="shared" si="26"/>
        <v>0</v>
      </c>
      <c r="Q75" s="635"/>
      <c r="R75" s="635"/>
      <c r="S75" s="635"/>
      <c r="T75" s="635">
        <f t="shared" si="13"/>
        <v>0</v>
      </c>
    </row>
    <row r="76" spans="1:20">
      <c r="A76" s="634">
        <f t="shared" si="14"/>
        <v>57</v>
      </c>
      <c r="B76" s="630"/>
      <c r="C76" s="628">
        <f t="shared" si="9"/>
        <v>0</v>
      </c>
      <c r="D76" s="628">
        <f t="shared" ref="D76:O76" si="27">D23-D48</f>
        <v>0</v>
      </c>
      <c r="E76" s="628">
        <f t="shared" si="27"/>
        <v>0</v>
      </c>
      <c r="F76" s="628">
        <f t="shared" si="27"/>
        <v>0</v>
      </c>
      <c r="G76" s="628">
        <f t="shared" si="27"/>
        <v>0</v>
      </c>
      <c r="H76" s="628">
        <f t="shared" si="27"/>
        <v>0</v>
      </c>
      <c r="I76" s="628">
        <f t="shared" si="27"/>
        <v>0</v>
      </c>
      <c r="J76" s="628">
        <f t="shared" si="27"/>
        <v>0</v>
      </c>
      <c r="K76" s="628">
        <f t="shared" si="27"/>
        <v>0</v>
      </c>
      <c r="L76" s="628">
        <f t="shared" si="27"/>
        <v>0</v>
      </c>
      <c r="M76" s="628">
        <f t="shared" si="27"/>
        <v>0</v>
      </c>
      <c r="N76" s="628">
        <f t="shared" si="27"/>
        <v>0</v>
      </c>
      <c r="O76" s="628">
        <f t="shared" si="27"/>
        <v>0</v>
      </c>
      <c r="Q76" s="635"/>
      <c r="R76" s="635"/>
      <c r="S76" s="635"/>
      <c r="T76" s="635">
        <f t="shared" si="13"/>
        <v>0</v>
      </c>
    </row>
    <row r="77" spans="1:20">
      <c r="A77" s="634">
        <f t="shared" si="14"/>
        <v>58</v>
      </c>
      <c r="B77" s="636"/>
      <c r="C77" s="628">
        <f t="shared" si="9"/>
        <v>0</v>
      </c>
      <c r="D77" s="628">
        <f t="shared" ref="D77:O77" si="28">D24-D49</f>
        <v>0</v>
      </c>
      <c r="E77" s="628">
        <f t="shared" si="28"/>
        <v>0</v>
      </c>
      <c r="F77" s="628">
        <f t="shared" si="28"/>
        <v>0</v>
      </c>
      <c r="G77" s="628">
        <f t="shared" si="28"/>
        <v>0</v>
      </c>
      <c r="H77" s="628">
        <f t="shared" si="28"/>
        <v>0</v>
      </c>
      <c r="I77" s="628">
        <f t="shared" si="28"/>
        <v>0</v>
      </c>
      <c r="J77" s="628">
        <f t="shared" si="28"/>
        <v>0</v>
      </c>
      <c r="K77" s="628">
        <f t="shared" si="28"/>
        <v>0</v>
      </c>
      <c r="L77" s="628">
        <f t="shared" si="28"/>
        <v>0</v>
      </c>
      <c r="M77" s="628">
        <f t="shared" si="28"/>
        <v>0</v>
      </c>
      <c r="N77" s="628">
        <f t="shared" si="28"/>
        <v>0</v>
      </c>
      <c r="O77" s="628">
        <f t="shared" si="28"/>
        <v>0</v>
      </c>
      <c r="Q77" s="635"/>
      <c r="R77" s="635"/>
      <c r="S77" s="635"/>
      <c r="T77" s="635">
        <f t="shared" si="13"/>
        <v>0</v>
      </c>
    </row>
    <row r="78" spans="1:20">
      <c r="A78" s="634">
        <f t="shared" si="14"/>
        <v>59</v>
      </c>
      <c r="B78" s="636"/>
      <c r="C78" s="628">
        <f t="shared" si="9"/>
        <v>0</v>
      </c>
      <c r="D78" s="628">
        <f t="shared" ref="D78:O78" si="29">D25-D50</f>
        <v>0</v>
      </c>
      <c r="E78" s="628">
        <f t="shared" si="29"/>
        <v>0</v>
      </c>
      <c r="F78" s="628">
        <f t="shared" si="29"/>
        <v>0</v>
      </c>
      <c r="G78" s="628">
        <f t="shared" si="29"/>
        <v>0</v>
      </c>
      <c r="H78" s="628">
        <f t="shared" si="29"/>
        <v>0</v>
      </c>
      <c r="I78" s="628">
        <f t="shared" si="29"/>
        <v>0</v>
      </c>
      <c r="J78" s="628">
        <f t="shared" si="29"/>
        <v>0</v>
      </c>
      <c r="K78" s="628">
        <f t="shared" si="29"/>
        <v>0</v>
      </c>
      <c r="L78" s="628">
        <f t="shared" si="29"/>
        <v>0</v>
      </c>
      <c r="M78" s="628">
        <f t="shared" si="29"/>
        <v>0</v>
      </c>
      <c r="N78" s="628">
        <f t="shared" si="29"/>
        <v>0</v>
      </c>
      <c r="O78" s="628">
        <f t="shared" si="29"/>
        <v>0</v>
      </c>
      <c r="Q78" s="635"/>
      <c r="R78" s="635"/>
      <c r="S78" s="635"/>
      <c r="T78" s="635">
        <f t="shared" si="13"/>
        <v>0</v>
      </c>
    </row>
    <row r="79" spans="1:20">
      <c r="A79" s="634">
        <f t="shared" si="14"/>
        <v>60</v>
      </c>
      <c r="B79" s="636"/>
      <c r="C79" s="628">
        <f t="shared" si="9"/>
        <v>0</v>
      </c>
      <c r="D79" s="628">
        <f t="shared" ref="D79:O79" si="30">D26-D51</f>
        <v>0</v>
      </c>
      <c r="E79" s="628">
        <f t="shared" si="30"/>
        <v>0</v>
      </c>
      <c r="F79" s="628">
        <f t="shared" si="30"/>
        <v>0</v>
      </c>
      <c r="G79" s="628">
        <f t="shared" si="30"/>
        <v>0</v>
      </c>
      <c r="H79" s="628">
        <f t="shared" si="30"/>
        <v>0</v>
      </c>
      <c r="I79" s="628">
        <f t="shared" si="30"/>
        <v>0</v>
      </c>
      <c r="J79" s="628">
        <f t="shared" si="30"/>
        <v>0</v>
      </c>
      <c r="K79" s="628">
        <f t="shared" si="30"/>
        <v>0</v>
      </c>
      <c r="L79" s="628">
        <f t="shared" si="30"/>
        <v>0</v>
      </c>
      <c r="M79" s="628">
        <f t="shared" si="30"/>
        <v>0</v>
      </c>
      <c r="N79" s="628">
        <f t="shared" si="30"/>
        <v>0</v>
      </c>
      <c r="O79" s="628">
        <f t="shared" si="30"/>
        <v>0</v>
      </c>
      <c r="Q79" s="635"/>
      <c r="R79" s="635"/>
      <c r="S79" s="635"/>
      <c r="T79" s="635">
        <f t="shared" si="13"/>
        <v>0</v>
      </c>
    </row>
    <row r="80" spans="1:20">
      <c r="A80" s="634">
        <f t="shared" si="14"/>
        <v>61</v>
      </c>
      <c r="B80" s="627" t="s">
        <v>13</v>
      </c>
      <c r="C80" s="635">
        <f>SUM(C62:C79)</f>
        <v>51957592</v>
      </c>
      <c r="D80" s="635">
        <f t="shared" ref="D80:O80" si="31">SUM(D62:D79)</f>
        <v>63048977</v>
      </c>
      <c r="E80" s="635">
        <f t="shared" si="31"/>
        <v>62829557</v>
      </c>
      <c r="F80" s="635">
        <f t="shared" si="31"/>
        <v>60354556</v>
      </c>
      <c r="G80" s="635">
        <f t="shared" si="31"/>
        <v>58850947</v>
      </c>
      <c r="H80" s="635">
        <f t="shared" si="31"/>
        <v>59379549</v>
      </c>
      <c r="I80" s="635">
        <f t="shared" si="31"/>
        <v>59265921</v>
      </c>
      <c r="J80" s="635">
        <f t="shared" si="31"/>
        <v>57905056</v>
      </c>
      <c r="K80" s="635">
        <f t="shared" si="31"/>
        <v>56580815</v>
      </c>
      <c r="L80" s="635">
        <f t="shared" si="31"/>
        <v>57400940</v>
      </c>
      <c r="M80" s="635">
        <f t="shared" si="31"/>
        <v>55675977</v>
      </c>
      <c r="N80" s="635">
        <f t="shared" si="31"/>
        <v>54481509</v>
      </c>
      <c r="O80" s="635">
        <f t="shared" si="31"/>
        <v>57923092</v>
      </c>
      <c r="P80" s="635">
        <f>SUM(P62:P79)</f>
        <v>58127268.307692304</v>
      </c>
      <c r="Q80" s="635">
        <f>SUM(Q62:Q79)</f>
        <v>8249263.538461538</v>
      </c>
      <c r="R80" s="635">
        <f>SUM(R62:R79)</f>
        <v>40783108</v>
      </c>
      <c r="S80" s="635">
        <f>SUM(S62:S79)</f>
        <v>9094896.7692307699</v>
      </c>
      <c r="T80" s="635">
        <f>SUM(T62:T79)</f>
        <v>58127268.307692304</v>
      </c>
    </row>
    <row r="81" spans="1:20">
      <c r="A81" s="634">
        <f t="shared" si="14"/>
        <v>62</v>
      </c>
      <c r="B81" s="627"/>
      <c r="C81" s="635"/>
      <c r="D81" s="635"/>
      <c r="E81" s="635"/>
      <c r="F81" s="635"/>
      <c r="G81" s="635"/>
      <c r="H81" s="635"/>
      <c r="I81" s="635"/>
      <c r="J81" s="635"/>
      <c r="K81" s="635"/>
      <c r="L81" s="635"/>
      <c r="M81" s="635"/>
      <c r="N81" s="635"/>
      <c r="O81" s="635"/>
      <c r="P81" s="639" t="s">
        <v>742</v>
      </c>
      <c r="Q81" s="638">
        <f>Q53</f>
        <v>1</v>
      </c>
      <c r="R81" s="638">
        <f>R53</f>
        <v>0</v>
      </c>
      <c r="S81" s="638">
        <f>S53</f>
        <v>0.1176002587197187</v>
      </c>
      <c r="T81" s="635"/>
    </row>
    <row r="82" spans="1:20">
      <c r="A82" s="634">
        <f t="shared" si="14"/>
        <v>63</v>
      </c>
      <c r="B82" s="627"/>
      <c r="C82" s="635"/>
      <c r="D82" s="635"/>
      <c r="E82" s="635"/>
      <c r="F82" s="635"/>
      <c r="G82" s="635"/>
      <c r="H82" s="635"/>
      <c r="I82" s="635"/>
      <c r="J82" s="635"/>
      <c r="K82" s="635"/>
      <c r="L82" s="635"/>
      <c r="M82" s="635"/>
      <c r="N82" s="635"/>
      <c r="O82" s="635"/>
      <c r="P82" s="639" t="s">
        <v>866</v>
      </c>
      <c r="Q82" s="635">
        <f>Q80*Q81</f>
        <v>8249263.538461538</v>
      </c>
      <c r="R82" s="635">
        <f>R80*R81</f>
        <v>0</v>
      </c>
      <c r="S82" s="635">
        <f>S80*S81</f>
        <v>1069562.2130906724</v>
      </c>
      <c r="T82" s="635">
        <f>SUM(Q82:S82)</f>
        <v>9318825.7515522111</v>
      </c>
    </row>
    <row r="84" spans="1:20">
      <c r="B84" s="627" t="s">
        <v>209</v>
      </c>
      <c r="C84" s="627" t="s">
        <v>210</v>
      </c>
      <c r="D84" s="627" t="s">
        <v>211</v>
      </c>
      <c r="E84" s="627" t="s">
        <v>212</v>
      </c>
      <c r="F84" s="627" t="s">
        <v>214</v>
      </c>
      <c r="G84" s="627" t="s">
        <v>213</v>
      </c>
      <c r="H84" s="627"/>
      <c r="I84" s="627"/>
      <c r="J84" s="627"/>
      <c r="K84" s="627"/>
      <c r="L84" s="627"/>
      <c r="M84" s="627"/>
      <c r="N84" s="627"/>
      <c r="O84" s="627"/>
      <c r="P84" s="627"/>
      <c r="Q84" s="627"/>
      <c r="R84" s="627"/>
      <c r="S84" s="627"/>
      <c r="T84" s="627"/>
    </row>
    <row r="85" spans="1:20">
      <c r="B85" s="629"/>
      <c r="C85" s="627" t="s">
        <v>13</v>
      </c>
      <c r="D85" s="631" t="s">
        <v>17</v>
      </c>
      <c r="E85" s="631" t="s">
        <v>858</v>
      </c>
      <c r="F85" s="631" t="s">
        <v>725</v>
      </c>
      <c r="G85" s="640" t="s">
        <v>13</v>
      </c>
      <c r="H85" s="627"/>
      <c r="I85" s="627"/>
      <c r="J85" s="627"/>
      <c r="K85" s="627"/>
      <c r="L85" s="627"/>
      <c r="M85" s="627"/>
      <c r="N85" s="627"/>
      <c r="O85" s="627"/>
    </row>
    <row r="86" spans="1:20">
      <c r="B86" s="629" t="s">
        <v>697</v>
      </c>
      <c r="C86" s="641"/>
      <c r="G86" s="642" t="s">
        <v>1047</v>
      </c>
      <c r="H86" s="627"/>
      <c r="I86" s="627"/>
      <c r="J86" s="627"/>
      <c r="K86" s="627"/>
      <c r="L86" s="627"/>
      <c r="M86" s="627"/>
      <c r="N86" s="627"/>
      <c r="O86" s="627"/>
    </row>
    <row r="87" spans="1:20">
      <c r="A87" s="634">
        <f>A82+1</f>
        <v>64</v>
      </c>
      <c r="B87" s="951" t="str">
        <f>B62</f>
        <v xml:space="preserve">Intangibles - General </v>
      </c>
      <c r="C87" s="858">
        <v>2176073.69</v>
      </c>
      <c r="D87" s="635"/>
      <c r="E87" s="635"/>
      <c r="F87" s="635">
        <f>C87</f>
        <v>2176073.69</v>
      </c>
      <c r="G87" s="635">
        <f>SUM(D87:F87)</f>
        <v>2176073.69</v>
      </c>
      <c r="H87" s="628"/>
      <c r="I87" s="628"/>
      <c r="J87" s="628"/>
      <c r="K87" s="628"/>
      <c r="L87" s="628"/>
      <c r="M87" s="628"/>
      <c r="N87" s="628"/>
      <c r="O87" s="628"/>
    </row>
    <row r="88" spans="1:20">
      <c r="A88" s="634">
        <f>A87+1</f>
        <v>65</v>
      </c>
      <c r="B88" s="951" t="str">
        <f t="shared" ref="B88:B93" si="32">B63</f>
        <v>IT NERC CIP - Transmission</v>
      </c>
      <c r="C88" s="858">
        <v>2186899.92</v>
      </c>
      <c r="D88" s="635">
        <f>C88</f>
        <v>2186899.92</v>
      </c>
      <c r="E88" s="635"/>
      <c r="F88" s="635"/>
      <c r="G88" s="635">
        <f t="shared" ref="G88:G105" si="33">SUM(D88:F88)</f>
        <v>2186899.92</v>
      </c>
      <c r="H88" s="628"/>
      <c r="I88" s="628"/>
      <c r="J88" s="628"/>
      <c r="K88" s="628"/>
      <c r="L88" s="628"/>
      <c r="M88" s="628"/>
      <c r="N88" s="628"/>
      <c r="O88" s="628"/>
    </row>
    <row r="89" spans="1:20">
      <c r="A89" s="634">
        <f t="shared" ref="A89:A107" si="34">A88+1</f>
        <v>66</v>
      </c>
      <c r="B89" s="951" t="str">
        <f t="shared" si="32"/>
        <v>IT NERC CIP - Distribution</v>
      </c>
      <c r="C89" s="858">
        <v>338680.75</v>
      </c>
      <c r="D89" s="635"/>
      <c r="E89" s="635">
        <f>C89</f>
        <v>338680.75</v>
      </c>
      <c r="F89" s="635"/>
      <c r="G89" s="635">
        <f t="shared" si="33"/>
        <v>338680.75</v>
      </c>
      <c r="H89" s="628"/>
      <c r="I89" s="628"/>
      <c r="J89" s="628"/>
      <c r="K89" s="628"/>
      <c r="L89" s="628"/>
      <c r="M89" s="628"/>
      <c r="N89" s="628"/>
      <c r="O89" s="628"/>
    </row>
    <row r="90" spans="1:20">
      <c r="A90" s="634">
        <f t="shared" si="34"/>
        <v>67</v>
      </c>
      <c r="B90" s="951" t="str">
        <f t="shared" si="32"/>
        <v>IT DSP - Distribution</v>
      </c>
      <c r="C90" s="858">
        <v>0</v>
      </c>
      <c r="D90" s="635"/>
      <c r="E90" s="635">
        <f>C90</f>
        <v>0</v>
      </c>
      <c r="F90" s="635"/>
      <c r="G90" s="635">
        <f t="shared" si="33"/>
        <v>0</v>
      </c>
      <c r="H90" s="628"/>
      <c r="I90" s="628"/>
      <c r="J90" s="628"/>
      <c r="K90" s="628"/>
      <c r="L90" s="628"/>
      <c r="M90" s="628"/>
      <c r="N90" s="628"/>
      <c r="O90" s="628"/>
    </row>
    <row r="91" spans="1:20">
      <c r="A91" s="634">
        <f t="shared" si="34"/>
        <v>68</v>
      </c>
      <c r="B91" s="951" t="str">
        <f t="shared" si="32"/>
        <v>IT BIDA - Distribution</v>
      </c>
      <c r="C91" s="858">
        <v>210062.45</v>
      </c>
      <c r="D91" s="635"/>
      <c r="E91" s="635">
        <f>C91</f>
        <v>210062.45</v>
      </c>
      <c r="F91" s="635"/>
      <c r="G91" s="635">
        <f t="shared" si="33"/>
        <v>210062.45</v>
      </c>
      <c r="H91" s="628"/>
      <c r="I91" s="628"/>
      <c r="J91" s="628"/>
      <c r="K91" s="628"/>
      <c r="L91" s="628"/>
      <c r="M91" s="628"/>
      <c r="N91" s="628"/>
      <c r="O91" s="628"/>
    </row>
    <row r="92" spans="1:20">
      <c r="A92" s="634">
        <f t="shared" si="34"/>
        <v>69</v>
      </c>
      <c r="B92" s="951" t="str">
        <f t="shared" si="32"/>
        <v>IT Post 2010 and Other - Distribution</v>
      </c>
      <c r="C92" s="858">
        <v>4226671.1500000004</v>
      </c>
      <c r="D92" s="635"/>
      <c r="E92" s="635">
        <f>C92</f>
        <v>4226671.1500000004</v>
      </c>
      <c r="F92" s="635"/>
      <c r="G92" s="635">
        <f t="shared" si="33"/>
        <v>4226671.1500000004</v>
      </c>
      <c r="H92" s="628"/>
      <c r="I92" s="628"/>
      <c r="J92" s="628"/>
      <c r="K92" s="628"/>
      <c r="L92" s="628"/>
      <c r="M92" s="628"/>
      <c r="N92" s="628"/>
      <c r="O92" s="628"/>
    </row>
    <row r="93" spans="1:20">
      <c r="A93" s="634">
        <f t="shared" si="34"/>
        <v>70</v>
      </c>
      <c r="B93" s="951" t="str">
        <f t="shared" si="32"/>
        <v>IT Smart Meter - Distribution</v>
      </c>
      <c r="C93" s="858">
        <v>10737874.880000001</v>
      </c>
      <c r="D93" s="635"/>
      <c r="E93" s="635">
        <f>C93</f>
        <v>10737874.880000001</v>
      </c>
      <c r="F93" s="635"/>
      <c r="G93" s="635">
        <f t="shared" si="33"/>
        <v>10737874.880000001</v>
      </c>
      <c r="H93" s="628"/>
      <c r="I93" s="628"/>
      <c r="J93" s="628"/>
      <c r="K93" s="628"/>
      <c r="L93" s="628"/>
      <c r="M93" s="628"/>
      <c r="N93" s="628"/>
      <c r="O93" s="628"/>
    </row>
    <row r="94" spans="1:20">
      <c r="A94" s="634">
        <f t="shared" si="34"/>
        <v>71</v>
      </c>
      <c r="B94" s="630"/>
      <c r="C94" s="858">
        <v>0</v>
      </c>
      <c r="D94" s="635"/>
      <c r="E94" s="635"/>
      <c r="F94" s="635"/>
      <c r="G94" s="635">
        <f t="shared" si="33"/>
        <v>0</v>
      </c>
      <c r="H94" s="628"/>
      <c r="I94" s="628"/>
      <c r="J94" s="628"/>
      <c r="K94" s="628"/>
      <c r="L94" s="628"/>
      <c r="M94" s="628"/>
      <c r="N94" s="628"/>
      <c r="O94" s="628"/>
    </row>
    <row r="95" spans="1:20">
      <c r="A95" s="634">
        <f t="shared" si="34"/>
        <v>72</v>
      </c>
      <c r="B95" s="630"/>
      <c r="C95" s="858">
        <v>0</v>
      </c>
      <c r="D95" s="635"/>
      <c r="E95" s="635"/>
      <c r="F95" s="635"/>
      <c r="G95" s="635">
        <f t="shared" si="33"/>
        <v>0</v>
      </c>
      <c r="H95" s="628"/>
      <c r="I95" s="628"/>
      <c r="J95" s="628"/>
      <c r="K95" s="628"/>
      <c r="L95" s="628"/>
      <c r="M95" s="628"/>
      <c r="N95" s="628"/>
      <c r="O95" s="628"/>
    </row>
    <row r="96" spans="1:20">
      <c r="A96" s="634">
        <f t="shared" si="34"/>
        <v>73</v>
      </c>
      <c r="B96" s="630"/>
      <c r="C96" s="858">
        <v>0</v>
      </c>
      <c r="D96" s="635"/>
      <c r="E96" s="635"/>
      <c r="F96" s="635"/>
      <c r="G96" s="635">
        <f t="shared" si="33"/>
        <v>0</v>
      </c>
      <c r="H96" s="628"/>
      <c r="I96" s="628"/>
      <c r="J96" s="628"/>
      <c r="K96" s="628"/>
      <c r="L96" s="628"/>
      <c r="M96" s="628"/>
      <c r="N96" s="628"/>
      <c r="O96" s="628"/>
    </row>
    <row r="97" spans="1:15">
      <c r="A97" s="634">
        <f t="shared" si="34"/>
        <v>74</v>
      </c>
      <c r="B97" s="630"/>
      <c r="C97" s="858">
        <v>0</v>
      </c>
      <c r="D97" s="635"/>
      <c r="E97" s="635"/>
      <c r="F97" s="635"/>
      <c r="G97" s="635">
        <f t="shared" si="33"/>
        <v>0</v>
      </c>
      <c r="H97" s="628"/>
      <c r="I97" s="628"/>
      <c r="J97" s="628"/>
      <c r="K97" s="628"/>
      <c r="L97" s="628"/>
      <c r="M97" s="628"/>
      <c r="N97" s="628"/>
      <c r="O97" s="628"/>
    </row>
    <row r="98" spans="1:15">
      <c r="A98" s="634">
        <f t="shared" si="34"/>
        <v>75</v>
      </c>
      <c r="B98" s="630"/>
      <c r="C98" s="858">
        <v>0</v>
      </c>
      <c r="D98" s="635"/>
      <c r="E98" s="635"/>
      <c r="F98" s="635"/>
      <c r="G98" s="635">
        <f t="shared" si="33"/>
        <v>0</v>
      </c>
      <c r="H98" s="628"/>
      <c r="I98" s="628"/>
      <c r="J98" s="628"/>
      <c r="K98" s="628"/>
      <c r="L98" s="628"/>
      <c r="M98" s="628"/>
      <c r="N98" s="628"/>
      <c r="O98" s="628"/>
    </row>
    <row r="99" spans="1:15">
      <c r="A99" s="634">
        <f t="shared" si="34"/>
        <v>76</v>
      </c>
      <c r="B99" s="630"/>
      <c r="C99" s="858">
        <v>0</v>
      </c>
      <c r="D99" s="635"/>
      <c r="E99" s="635"/>
      <c r="F99" s="635"/>
      <c r="G99" s="635">
        <f t="shared" si="33"/>
        <v>0</v>
      </c>
      <c r="H99" s="628"/>
      <c r="I99" s="628"/>
      <c r="J99" s="628"/>
      <c r="K99" s="628"/>
      <c r="L99" s="628"/>
      <c r="M99" s="628"/>
      <c r="N99" s="628"/>
      <c r="O99" s="628"/>
    </row>
    <row r="100" spans="1:15">
      <c r="A100" s="634">
        <f t="shared" si="34"/>
        <v>77</v>
      </c>
      <c r="B100" s="636"/>
      <c r="C100" s="858">
        <v>0</v>
      </c>
      <c r="D100" s="635"/>
      <c r="E100" s="635"/>
      <c r="F100" s="635"/>
      <c r="G100" s="635">
        <f t="shared" si="33"/>
        <v>0</v>
      </c>
      <c r="H100" s="628"/>
      <c r="I100" s="628"/>
      <c r="J100" s="628"/>
      <c r="K100" s="628"/>
      <c r="L100" s="628"/>
      <c r="M100" s="628"/>
      <c r="N100" s="628"/>
      <c r="O100" s="628"/>
    </row>
    <row r="101" spans="1:15">
      <c r="A101" s="634">
        <f t="shared" si="34"/>
        <v>78</v>
      </c>
      <c r="B101" s="630"/>
      <c r="C101" s="858">
        <v>0</v>
      </c>
      <c r="D101" s="635"/>
      <c r="E101" s="635"/>
      <c r="F101" s="635"/>
      <c r="G101" s="635">
        <f t="shared" si="33"/>
        <v>0</v>
      </c>
      <c r="H101" s="628"/>
      <c r="I101" s="628"/>
      <c r="J101" s="628"/>
      <c r="K101" s="628"/>
      <c r="L101" s="628"/>
      <c r="M101" s="628"/>
      <c r="N101" s="628"/>
      <c r="O101" s="628"/>
    </row>
    <row r="102" spans="1:15">
      <c r="A102" s="634">
        <f t="shared" si="34"/>
        <v>79</v>
      </c>
      <c r="B102" s="636"/>
      <c r="C102" s="858">
        <v>0</v>
      </c>
      <c r="D102" s="635"/>
      <c r="E102" s="635"/>
      <c r="F102" s="635"/>
      <c r="G102" s="635">
        <f t="shared" si="33"/>
        <v>0</v>
      </c>
      <c r="H102" s="628"/>
      <c r="I102" s="628"/>
      <c r="J102" s="628"/>
      <c r="K102" s="628"/>
      <c r="L102" s="628"/>
      <c r="M102" s="628"/>
      <c r="N102" s="628"/>
      <c r="O102" s="628"/>
    </row>
    <row r="103" spans="1:15">
      <c r="A103" s="634">
        <f t="shared" si="34"/>
        <v>80</v>
      </c>
      <c r="B103" s="636"/>
      <c r="C103" s="858">
        <v>0</v>
      </c>
      <c r="D103" s="635"/>
      <c r="E103" s="635"/>
      <c r="F103" s="635"/>
      <c r="G103" s="635">
        <f t="shared" si="33"/>
        <v>0</v>
      </c>
      <c r="H103" s="628"/>
      <c r="I103" s="628"/>
      <c r="J103" s="628"/>
      <c r="K103" s="628"/>
      <c r="L103" s="628"/>
      <c r="M103" s="628"/>
      <c r="N103" s="628"/>
      <c r="O103" s="628"/>
    </row>
    <row r="104" spans="1:15">
      <c r="A104" s="634">
        <f t="shared" si="34"/>
        <v>81</v>
      </c>
      <c r="B104" s="636"/>
      <c r="C104" s="858">
        <v>0</v>
      </c>
      <c r="D104" s="635"/>
      <c r="E104" s="635"/>
      <c r="F104" s="635"/>
      <c r="G104" s="635">
        <f t="shared" si="33"/>
        <v>0</v>
      </c>
      <c r="H104" s="628"/>
      <c r="I104" s="628"/>
      <c r="J104" s="628"/>
      <c r="K104" s="628"/>
      <c r="L104" s="628"/>
      <c r="M104" s="628"/>
      <c r="N104" s="628"/>
      <c r="O104" s="628"/>
    </row>
    <row r="105" spans="1:15">
      <c r="A105" s="634">
        <f t="shared" si="34"/>
        <v>82</v>
      </c>
      <c r="B105" s="627" t="s">
        <v>13</v>
      </c>
      <c r="C105" s="635">
        <f>SUM(C87:C104)</f>
        <v>19876262.840000004</v>
      </c>
      <c r="D105" s="635">
        <f>SUM(D87:D104)</f>
        <v>2186899.92</v>
      </c>
      <c r="E105" s="635">
        <f>SUM(E87:E104)</f>
        <v>15513289.23</v>
      </c>
      <c r="F105" s="635">
        <f>SUM(F87:F104)</f>
        <v>2176073.69</v>
      </c>
      <c r="G105" s="635">
        <f t="shared" si="33"/>
        <v>19876262.84</v>
      </c>
      <c r="H105" s="635"/>
      <c r="I105" s="635"/>
      <c r="J105" s="635"/>
      <c r="K105" s="635"/>
      <c r="L105" s="635"/>
      <c r="M105" s="635"/>
      <c r="N105" s="635"/>
      <c r="O105" s="635"/>
    </row>
    <row r="106" spans="1:15">
      <c r="A106" s="634">
        <f t="shared" si="34"/>
        <v>83</v>
      </c>
      <c r="C106" s="639" t="s">
        <v>742</v>
      </c>
      <c r="D106" s="638">
        <f>Q81</f>
        <v>1</v>
      </c>
      <c r="E106" s="638">
        <f>R81</f>
        <v>0</v>
      </c>
      <c r="F106" s="638">
        <f>S81</f>
        <v>0.1176002587197187</v>
      </c>
      <c r="G106" s="635"/>
    </row>
    <row r="107" spans="1:15">
      <c r="A107" s="634">
        <f t="shared" si="34"/>
        <v>84</v>
      </c>
      <c r="C107" s="639" t="s">
        <v>866</v>
      </c>
      <c r="D107" s="635">
        <f>D105*D106</f>
        <v>2186899.92</v>
      </c>
      <c r="E107" s="635">
        <f>E105*E106</f>
        <v>0</v>
      </c>
      <c r="F107" s="635">
        <f>F105*F106</f>
        <v>255906.82893717295</v>
      </c>
      <c r="G107" s="635">
        <f>SUM(D107:F107)</f>
        <v>2442806.7489371728</v>
      </c>
    </row>
  </sheetData>
  <mergeCells count="5">
    <mergeCell ref="B1:G1"/>
    <mergeCell ref="B3:G3"/>
    <mergeCell ref="B2:H2"/>
    <mergeCell ref="B56:H56"/>
    <mergeCell ref="B57:G57"/>
  </mergeCells>
  <pageMargins left="0.7" right="0.7" top="0.75" bottom="0.75" header="0.3" footer="0.3"/>
  <pageSetup scale="38" fitToHeight="4" orientation="landscape" r:id="rId1"/>
  <rowBreaks count="1" manualBreakCount="1">
    <brk id="54" max="19"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8DBC8E-E135-4F5E-ADEE-BD14D77AAFE6}">
  <ds:schemaRefs>
    <ds:schemaRef ds:uri="http://schemas.microsoft.com/office/2006/documentManagement/types"/>
    <ds:schemaRef ds:uri="http://schemas.microsoft.com/office/infopath/2007/PartnerControls"/>
    <ds:schemaRef ds:uri="http://purl.org/dc/elements/1.1/"/>
    <ds:schemaRef ds:uri="http://purl.org/dc/terms/"/>
    <ds:schemaRef ds:uri="http://www.w3.org/XML/1998/namespace"/>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Attachment H-7</vt:lpstr>
      <vt:lpstr>1-Project Rev Req</vt:lpstr>
      <vt:lpstr>2-Incentive ROE</vt:lpstr>
      <vt:lpstr>3-Project True-up</vt:lpstr>
      <vt:lpstr>4- Rate Base</vt:lpstr>
      <vt:lpstr>4A - ADIT Summary</vt:lpstr>
      <vt:lpstr>4B - ADIT BOY</vt:lpstr>
      <vt:lpstr>4C - ADIT EOY</vt:lpstr>
      <vt:lpstr>4D - Intangible Pnt</vt:lpstr>
      <vt:lpstr>4E COA</vt:lpstr>
      <vt:lpstr>5-P3 Support</vt:lpstr>
      <vt:lpstr>5A - Revenue Credits</vt:lpstr>
      <vt:lpstr>5B - A&amp;G</vt:lpstr>
      <vt:lpstr>6-True-Up Interest</vt:lpstr>
      <vt:lpstr>7 - PBOP</vt:lpstr>
      <vt:lpstr>8 - Depreciation Rates</vt:lpstr>
      <vt:lpstr>'1-Project Rev Req'!Print_Area</vt:lpstr>
      <vt:lpstr>'2-Incentive ROE'!Print_Area</vt:lpstr>
      <vt:lpstr>'4- Rate Base'!Print_Area</vt:lpstr>
      <vt:lpstr>'4A - ADIT Summary'!Print_Area</vt:lpstr>
      <vt:lpstr>'4B - ADIT BOY'!Print_Area</vt:lpstr>
      <vt:lpstr>'4D - Intangible Pnt'!Print_Area</vt:lpstr>
      <vt:lpstr>'5A - Revenue Credits'!Print_Area</vt:lpstr>
      <vt:lpstr>'5B - A&amp;G'!Print_Area</vt:lpstr>
      <vt:lpstr>'5-P3 Support'!Print_Area</vt:lpstr>
      <vt:lpstr>'6-True-Up Interest'!Print_Area</vt:lpstr>
      <vt:lpstr>'7 - PBOP'!Print_Area</vt:lpstr>
      <vt:lpstr>'8 - Depreciation Rates'!Print_Area</vt:lpstr>
      <vt:lpstr>'Attachment H-7'!Print_Area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