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60" windowWidth="12240" windowHeight="9000" activeTab="0"/>
  </bookViews>
  <sheets>
    <sheet name="UCAP Oblig. - ZCP" sheetId="1" r:id="rId1"/>
    <sheet name="Summary" sheetId="2" r:id="rId2"/>
    <sheet name="BRA Resource Clearing Results" sheetId="3" r:id="rId3"/>
    <sheet name="BRA Load Pricing Results" sheetId="4" r:id="rId4"/>
    <sheet name="BRA CTRs" sheetId="5" r:id="rId5"/>
    <sheet name="BRA ICTRs" sheetId="6" r:id="rId6"/>
    <sheet name="1stIA Resource Clearing Results" sheetId="7" r:id="rId7"/>
    <sheet name="1st IA Load Pricing Results" sheetId="8" r:id="rId8"/>
    <sheet name="1st IA CTRs" sheetId="9" r:id="rId9"/>
    <sheet name="1st IA ICTRs" sheetId="10" r:id="rId10"/>
    <sheet name="2ndIA Resource Clearing Results" sheetId="11" r:id="rId11"/>
    <sheet name="2nd IA Load Pricing Results" sheetId="12" r:id="rId12"/>
    <sheet name="2nd IA CTRs" sheetId="13" r:id="rId13"/>
    <sheet name="2nd IA ICTRs" sheetId="14" r:id="rId14"/>
  </sheets>
  <definedNames>
    <definedName name="_xlnm.Print_Area" localSheetId="8">'1st IA CTRs'!$A$1:$AB$45</definedName>
    <definedName name="_xlnm.Print_Area" localSheetId="9">'1st IA ICTRs'!$A$1:$AC$106</definedName>
    <definedName name="_xlnm.Print_Area" localSheetId="7">'1st IA Load Pricing Results'!$A$1:$L$61</definedName>
    <definedName name="_xlnm.Print_Area" localSheetId="6">'1stIA Resource Clearing Results'!$A$1:$Y$76</definedName>
    <definedName name="_xlnm.Print_Area" localSheetId="12">'2nd IA CTRs'!$A$1:$AB$45</definedName>
    <definedName name="_xlnm.Print_Area" localSheetId="13">'2nd IA ICTRs'!$A$1:$AB$106</definedName>
    <definedName name="_xlnm.Print_Area" localSheetId="11">'2nd IA Load Pricing Results'!$A$1:$L$61</definedName>
    <definedName name="_xlnm.Print_Area" localSheetId="10">'2ndIA Resource Clearing Results'!$A$1:$Y$76</definedName>
    <definedName name="_xlnm.Print_Area" localSheetId="4">'BRA CTRs'!$A$1:$AB$46</definedName>
    <definedName name="_xlnm.Print_Area" localSheetId="5">'BRA ICTRs'!$A$1:$AC$106</definedName>
    <definedName name="_xlnm.Print_Area" localSheetId="3">'BRA Load Pricing Results'!$A$1:$L$59</definedName>
    <definedName name="_xlnm.Print_Area" localSheetId="2">'BRA Resource Clearing Results'!$A$1:$J$108</definedName>
    <definedName name="_xlnm.Print_Area" localSheetId="1">'Summary'!$A$1:$J$96</definedName>
    <definedName name="_xlnm.Print_Area" localSheetId="0">'UCAP Oblig. - ZCP'!$A$1:$J$27</definedName>
  </definedNames>
  <calcPr fullCalcOnLoad="1"/>
</workbook>
</file>

<file path=xl/sharedStrings.xml><?xml version="1.0" encoding="utf-8"?>
<sst xmlns="http://schemas.openxmlformats.org/spreadsheetml/2006/main" count="2659" uniqueCount="355">
  <si>
    <t>RPM Parameters</t>
  </si>
  <si>
    <t>IRM</t>
  </si>
  <si>
    <t>Pool Average EFORd</t>
  </si>
  <si>
    <t>LDA</t>
  </si>
  <si>
    <t>FPR</t>
  </si>
  <si>
    <t>SWMAAC</t>
  </si>
  <si>
    <t>RTO</t>
  </si>
  <si>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</si>
  <si>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</si>
  <si>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</si>
  <si>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</si>
  <si>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</si>
  <si>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</si>
  <si>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</si>
  <si>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</si>
  <si>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</si>
  <si>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</si>
  <si>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</si>
  <si>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</si>
  <si>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</si>
  <si>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</si>
  <si>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</si>
  <si>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>Zonal Forecast Peak Load Scaling Factor</t>
  </si>
  <si>
    <t>Obligation Peak Load Scaling Factor</t>
  </si>
  <si>
    <t xml:space="preserve"> </t>
  </si>
  <si>
    <t>Base Zonal RPM Scaling Factor</t>
  </si>
  <si>
    <t>Base Zonal UCAP Obligation    [MW]</t>
  </si>
  <si>
    <t>LDA2</t>
  </si>
  <si>
    <t>LDA1</t>
  </si>
  <si>
    <t>MAAC</t>
  </si>
  <si>
    <t>AEP</t>
  </si>
  <si>
    <t>DOM</t>
  </si>
  <si>
    <t xml:space="preserve">  </t>
  </si>
  <si>
    <t>LDA3</t>
  </si>
  <si>
    <t>Preliminary Zonal Capacity Price           [$/MW-day]</t>
  </si>
  <si>
    <t>EMAAC</t>
  </si>
  <si>
    <t>PSNORTH</t>
  </si>
  <si>
    <t>DPLSOUTH</t>
  </si>
  <si>
    <t>Rest of DPL</t>
  </si>
  <si>
    <t>Rest of PS</t>
  </si>
  <si>
    <t>DPL Equivalent</t>
  </si>
  <si>
    <t>Preliminary Zonal Results</t>
  </si>
  <si>
    <t>PS Equivalent</t>
  </si>
  <si>
    <t>Locational Price Adder</t>
  </si>
  <si>
    <t>DLCO</t>
  </si>
  <si>
    <t>ATSI</t>
  </si>
  <si>
    <t>Rest of RTO</t>
  </si>
  <si>
    <t>Rest of SWMAAC</t>
  </si>
  <si>
    <t>Rest of EMAAC</t>
  </si>
  <si>
    <t>Rest of MAAC</t>
  </si>
  <si>
    <t>Total</t>
  </si>
  <si>
    <t>AEP **</t>
  </si>
  <si>
    <t>Base Zonal CTR Credit Rate [$/MW UCAP Obligation per Day]</t>
  </si>
  <si>
    <t>Total Resources Cleared        [MW]</t>
  </si>
  <si>
    <t>DEOK **</t>
  </si>
  <si>
    <t>DEOK</t>
  </si>
  <si>
    <t>Total Resource Credits [$/day]</t>
  </si>
  <si>
    <t>Resource Credits</t>
  </si>
  <si>
    <t>Resource Clearing Prices</t>
  </si>
  <si>
    <t>Cleared &amp; Make-Whole MWs</t>
  </si>
  <si>
    <t>Sub-Zone/Zone</t>
  </si>
  <si>
    <t>LDA Base UCAP Obligation [MW]</t>
  </si>
  <si>
    <t>Zone/Responsible Customer</t>
  </si>
  <si>
    <t>Total ICTRs [MW]</t>
  </si>
  <si>
    <t>Incremental Capacity Transfer Rights (ICTRs)</t>
  </si>
  <si>
    <t>ICTR Credits</t>
  </si>
  <si>
    <t>Sink LDA</t>
  </si>
  <si>
    <t>QTU Credits [$/day]</t>
  </si>
  <si>
    <t>LDA CTRs</t>
  </si>
  <si>
    <t>Base UCAP Obligation [MW]</t>
  </si>
  <si>
    <t>Internal  Resources Cleared in LDA</t>
  </si>
  <si>
    <t>QTU Equivalents [MW]</t>
  </si>
  <si>
    <t>Totals</t>
  </si>
  <si>
    <t>Notes:</t>
  </si>
  <si>
    <t>Locational Price Adder is respect to immediate higher level LDA.</t>
  </si>
  <si>
    <t>Economic Value of CTRs = CTRs Allocated * Locational Price Adder</t>
  </si>
  <si>
    <t>CTRs Allocated, Economic Value of CTRs, CTR Credit Rates, and CTR Settlement Rates are not final and may change to due Incremental Auction results.</t>
  </si>
  <si>
    <t>Economic Value of ICTRs [$/day]</t>
  </si>
  <si>
    <t>Economic Value of ICTRs = Total ICTRs * Locational Price Adder.</t>
  </si>
  <si>
    <t>Customer-Funded Upgrades ICTRs [MW]</t>
  </si>
  <si>
    <t>Customer-Funded Upgrades</t>
  </si>
  <si>
    <t>ICTRs allocated and  Economic Value of CTRs are not final and are subject to change due to Incremental Auction results.</t>
  </si>
  <si>
    <t>Customer-Funded ICTR Credits [$/day]</t>
  </si>
  <si>
    <t>Cleared Capacity     [MW]</t>
  </si>
  <si>
    <t>Total Make-whole [MW]</t>
  </si>
  <si>
    <t>Preliminary CTRs Allocated = Max of the LDA CTRs Allocated to LSEs [MW]</t>
  </si>
  <si>
    <t>ICTRs for Customer-Funded Upgrades [MW]</t>
  </si>
  <si>
    <t>Total ICTRs into Sink LDA [MW]</t>
  </si>
  <si>
    <t>Allocation of LSE CTRs, Economic Value of LSE CTRs, Zonal CTR Credit Rates, &amp; Zonal CTR Settlement Rates</t>
  </si>
  <si>
    <t>LDA Capacity Price [$/MW-day]</t>
  </si>
  <si>
    <t>*Locational Price Adder with respect to RTO</t>
  </si>
  <si>
    <t>QTU Clearing Price **      [$/MW-Day]</t>
  </si>
  <si>
    <t>** Locational Price Adder with respect to the immediate higher level LDA.</t>
  </si>
  <si>
    <t>Total CTRs * [MW]</t>
  </si>
  <si>
    <t>* CTRs are reduced to allow for certain grandfathered congestion credits.</t>
  </si>
  <si>
    <t>b0457: Dooms-Lexington circuit wave traps (effective 2012/2013)</t>
  </si>
  <si>
    <t>b0559: Capacitor at Meadow Brook substation (effective 2012/2013</t>
  </si>
  <si>
    <t>b1398: Build two new parallel underground circuits from Gloucester to Camden (effective 2015/2016)</t>
  </si>
  <si>
    <t>M05:  Replace Wave Traps at Bedington and Black Oak 500 KV (effective 2009/2010)</t>
  </si>
  <si>
    <t>b1507: Rebuild Mt Storm - Doubs 500 kV (effective 2015/2016)</t>
  </si>
  <si>
    <t>b0487, b0489: Build new 500 kV transmission facilities from Susquehanna to Roseland (effective 2015/2016)</t>
  </si>
  <si>
    <t>East Coast Power (ECP)</t>
  </si>
  <si>
    <t>Hudson Transmission Partners (HTP)</t>
  </si>
  <si>
    <t>Incremental Rights-Eligible Required Transmission Enhancements</t>
  </si>
  <si>
    <t>ICTRs [MW] for Lower Voltage Facilities</t>
  </si>
  <si>
    <t>Cost Allocation Percentages for Incremental Rights-Eligible Required Transmission Enhancements</t>
  </si>
  <si>
    <t>Lower Voltage Facility: b0497</t>
  </si>
  <si>
    <t>Lower Voltage Facility: b1304.1 - b1304.4</t>
  </si>
  <si>
    <t>Lower Voltage Facility: b1398</t>
  </si>
  <si>
    <t>ICTRs for Regional Facilities and Necessary Lower Voltage Facilities [MW]</t>
  </si>
  <si>
    <t>ICTRs for Lower Voltage Facility: b0497 [MW]</t>
  </si>
  <si>
    <t>ICTRs for Lower Voltage Facility: b1304.1-b1304.4  [MW]</t>
  </si>
  <si>
    <t>ICTRs for Lower Voltage Facility: b1398 [MW]</t>
  </si>
  <si>
    <t>Incremental Rights-Eligible Required Transmission Enhancements ICTR Credits [$/day]</t>
  </si>
  <si>
    <t>Certified ICTR * [MW]</t>
  </si>
  <si>
    <t>Remaining CTRs for Incremental Rights-Eligible Required Transmission Enhancements, Customer-Funded Upgrades, &amp; LSEs [MW]</t>
  </si>
  <si>
    <t>Incremental Rights-Eligible Required Transmission Enhancements ICTRs [MW]</t>
  </si>
  <si>
    <t>* Certified ICTRs are adjusted if the Remaining CTRs for Incremental Rights-Eligible Required Transmission Enhancements, Customer Funded-Upgrades, and LSEs into LDA are less than the Total Certified ICTRs into the LDA.</t>
  </si>
  <si>
    <t>ConEd</t>
  </si>
  <si>
    <t>Neptune</t>
  </si>
  <si>
    <t>Remaining CTRs for LSEs [MW]</t>
  </si>
  <si>
    <t>Base Residual Auction</t>
  </si>
  <si>
    <t>Zonal UCAP Obligations, Zonal Capacity Prices, &amp; Zonal CTR Credit Rates</t>
  </si>
  <si>
    <t>Base Zonal CTR Credit Rate ($/MW-UCAP Obligation-day)</t>
  </si>
  <si>
    <t>** Obligation affected by FRR quantities.</t>
  </si>
  <si>
    <t>Preliminary Zonal Capacity Price          ($/MW-day)</t>
  </si>
  <si>
    <t>b1304.1, b1304.2, b1304.3, b1304.4: Various upgrades in PS (effective 2015/2016)</t>
  </si>
  <si>
    <t>ATSI-CLEVELAND</t>
  </si>
  <si>
    <t>Rest of ATSI</t>
  </si>
  <si>
    <t>ATSI Equivalent</t>
  </si>
  <si>
    <t>EKPC **</t>
  </si>
  <si>
    <t>EKPC</t>
  </si>
  <si>
    <t>b1694: Rebuild Loudoun - Brambleton 500 kV (effective 2016/2017)</t>
  </si>
  <si>
    <t>Calculation of Zonal Capacity Prices for PS, DPL, and ATSI</t>
  </si>
  <si>
    <t>Additional Locational Price Adder with respect to Reference LDA [$/MW-day]</t>
  </si>
  <si>
    <t>AEP ***</t>
  </si>
  <si>
    <t>DEOK ***</t>
  </si>
  <si>
    <t>EKPC ***</t>
  </si>
  <si>
    <t>*** Obligation affected by FRR quantities</t>
  </si>
  <si>
    <t>ADJUSTED</t>
  </si>
  <si>
    <t>Adjusted ICTR * [MW]</t>
  </si>
  <si>
    <t>No ICTRs for Regional Facilities/ Necessary Lower Voltage Facilities and no ICTRs for Lower Voltage Facilities.</t>
  </si>
  <si>
    <t>NORTH</t>
  </si>
  <si>
    <t>WEST 1</t>
  </si>
  <si>
    <t>WEST 2</t>
  </si>
  <si>
    <t>SOUTH 1</t>
  </si>
  <si>
    <t>SOUTH 2</t>
  </si>
  <si>
    <t>NA</t>
  </si>
  <si>
    <t>Certified ICTR [MW]</t>
  </si>
  <si>
    <t>Lower Voltage Facility: b1251, b1251.1</t>
  </si>
  <si>
    <t>ICTRs for Lower Voltage Facility: b1251, b1251.1 [MW]</t>
  </si>
  <si>
    <t>LDA/External Source Zone</t>
  </si>
  <si>
    <t>Make-Whole MW &amp; Credits</t>
  </si>
  <si>
    <t>Qualifying Transmission Upgrade (QTU) MWs &amp; Credits</t>
  </si>
  <si>
    <t>QTU Import Capability Cleared into Sink LDA  [MW]</t>
  </si>
  <si>
    <t>System Marginal Price*
 [$/MW-day]</t>
  </si>
  <si>
    <t>** Locational Price Adder (positive number) is with respect to the immediate higher level LDA.  Locational Price Decrement (negative number) is with respect to the unconstrained area of RTO.</t>
  </si>
  <si>
    <t>Locational Price Adder (Decrement)**
  [$/MW-day]</t>
  </si>
  <si>
    <t>Additional Make-whole Adjustments due to NEPA [$/day)</t>
  </si>
  <si>
    <t>Total Make-Whole Credits [$/day]</t>
  </si>
  <si>
    <t>Preliminary Zonal Capacity Price
[$/MW-day]</t>
  </si>
  <si>
    <t>Adjustment due to Price Decrements for External Resources [$/day]</t>
  </si>
  <si>
    <t>Adjustment due to Price Decrements for External Resources [$/MW-day]</t>
  </si>
  <si>
    <t>LDA Capacity Price</t>
  </si>
  <si>
    <t>**Reference LDA is EMAAC LDA for PS and DPL zones and RTO for ATSI zone.</t>
  </si>
  <si>
    <t>A Weighted Locational Price Adder is used in the case of PS, DPL, or ATSI Equivalent.</t>
  </si>
  <si>
    <t>RTO ***</t>
  </si>
  <si>
    <t>*** RTO resources do not include resources modeled in External Source Zones.</t>
  </si>
  <si>
    <t>Additional Adjustment due to Make-whole with respect to Reference LDA
 [$/MW-day]</t>
  </si>
  <si>
    <t>Allocation of Required Transmission Enhancement ICTRs to Zone/Responsible Customer</t>
  </si>
  <si>
    <t>Lower Voltage Facilities</t>
  </si>
  <si>
    <t>Capacity Performance Resource Clearing Price [$/MW-day]</t>
  </si>
  <si>
    <t>Capacity Performance Resources Cleared [MW]</t>
  </si>
  <si>
    <t>Base Capacity Generation Resources Cleared [MW]</t>
  </si>
  <si>
    <t>Capacity Performance Resources Make-whole [MW]</t>
  </si>
  <si>
    <t>Base Capacity  Resource Price Decrement in LDA
 [$/MW-day]</t>
  </si>
  <si>
    <t>Base Capacity Resource Clearing Price
 [$/MW-day]</t>
  </si>
  <si>
    <t>Base Capacity Demand Resource Price Decrement in LDA [$/MW-day]</t>
  </si>
  <si>
    <t>Resource Credits for Capacity Performance  Resources [$/day]</t>
  </si>
  <si>
    <t>Base Capacity Generation  Resources Make-whole [MW]</t>
  </si>
  <si>
    <t>Resource Credits for Base Capacity Generation Resources [$/day]</t>
  </si>
  <si>
    <t>Make-whole Credits for Capacity Performance  Resources [$/day]</t>
  </si>
  <si>
    <t>Make-whole Credits for Base Capacity Generation Resources [$/day]</t>
  </si>
  <si>
    <t>Adjustment due to Base Capacity Resource Price Decrement [$/MW-day]</t>
  </si>
  <si>
    <t>System Marginal Price               [$/MW-day]</t>
  </si>
  <si>
    <t>Locational Price Adder*            [$/MW-day]</t>
  </si>
  <si>
    <t>Adjustment due to Base Capacity Resource Price Decrement             [$/day]</t>
  </si>
  <si>
    <t>Adjustment due to Make-Whole         [$/MW-day]</t>
  </si>
  <si>
    <t>Reference LDA** Capacity Price           [MW]</t>
  </si>
  <si>
    <t>Additional Adjustment due to Base Capacity Resource Price Decrement with respect to Reference LDA [$/day]</t>
  </si>
  <si>
    <t>Additional Adjustment due to Base Capacity  Resource Price Decrement with respect to Reference LDA [$/MW-day]</t>
  </si>
  <si>
    <t>Additional Make-Whole Costs with respect to  Reference LDA [$/day]</t>
  </si>
  <si>
    <t>Regional Facilities (500 kV and above)</t>
  </si>
  <si>
    <t xml:space="preserve">ICTRs [MW] for Regional Facilities </t>
  </si>
  <si>
    <t>b2373: Build 2nd Loudoun - Brambleton 500 kV line (effective 2018/2019)</t>
  </si>
  <si>
    <t>b2443: Construct new underground 230 kV line fromGlebe to Station C (2018/2019).</t>
  </si>
  <si>
    <t>Lower Voltage Facility: b2443</t>
  </si>
  <si>
    <t>Regional Facilities</t>
  </si>
  <si>
    <t>ICTRs for Lower Voltage Facility: b2443 [MW]</t>
  </si>
  <si>
    <t>*System Marginal Price is the clearing price for Capacity Performance Resources in unconstrained area of RTO.</t>
  </si>
  <si>
    <t>CTRs Allocated to LSEs                   [MW]</t>
  </si>
  <si>
    <t>Economic Value of LSE CTRs        [$/day]</t>
  </si>
  <si>
    <t>CTRs Allocated to LSEs                           [MW]</t>
  </si>
  <si>
    <t>Economic Value of LSE CTRs         [$/day]</t>
  </si>
  <si>
    <t>Total Preliminary Economic Value of LSE CTRs         [$/day]</t>
  </si>
  <si>
    <t>Preliminary Zonal CTR Settlement Rate                [$/MW CTR per day]</t>
  </si>
  <si>
    <t>NORTH ***</t>
  </si>
  <si>
    <t>WEST 1 ***</t>
  </si>
  <si>
    <t>WEST 2 ***</t>
  </si>
  <si>
    <t>SOUTH 1 ***</t>
  </si>
  <si>
    <t>SOUTH 2 ***</t>
  </si>
  <si>
    <t>Base Capacity DR/EE Resource Clearing Price [$/MW-day]</t>
  </si>
  <si>
    <t>Base Capacity DR/EE Resources Cleared [MW]</t>
  </si>
  <si>
    <t>Base Capacity DR/EE Resources Make-whole [MW]</t>
  </si>
  <si>
    <t>Resource Credits for Base Capacity DR/EE Resources [$/day]</t>
  </si>
  <si>
    <t>Make-whole Credits for Base Capacity DR/EE Resources [$/day]</t>
  </si>
  <si>
    <t>Adjustment due to Base Capacity DR/EE Resource Price Decrement             [$/day]</t>
  </si>
  <si>
    <t>Adjustment due to Base Capacity DR/EE Resource Price Decrement         [$/MW-day]</t>
  </si>
  <si>
    <t>Additional Adjustment due to Base Capacity DR/EE Resource Price Decrement with respect to Reference LDA [$/day]</t>
  </si>
  <si>
    <t>Additional Adjustment due to Base Capacity DR/EE Resource Price Decrement with respect to Reference LDA [$/MW-day]</t>
  </si>
  <si>
    <t>b0497: Install Second Conastone-Graceton 230 kV circuit; Replace Conastone 230 kV breaker 2323/2302 (effective 2017/2018)</t>
  </si>
  <si>
    <t>2019/2020 BRA Resource Clearing Results</t>
  </si>
  <si>
    <t>2019/2020 BRA Load Pricing Results</t>
  </si>
  <si>
    <t>2019/2020 DY BRA CTRs</t>
  </si>
  <si>
    <t xml:space="preserve">2019/2020 BRA ICTRs </t>
  </si>
  <si>
    <t>***  No external capacity modeled in the External Source Zones was offered in 2019/2020 BRA.</t>
  </si>
  <si>
    <t>2015 W/N Coincident Peak Load               [MW]</t>
  </si>
  <si>
    <t>2019/2020 Prelim. Zonal Peak Load Forecast                     [MW]</t>
  </si>
  <si>
    <t>RTO Reliability Requirement [MW] #</t>
  </si>
  <si>
    <t># Including EE Addback.</t>
  </si>
  <si>
    <t xml:space="preserve">Note:  Cost Allocation Percentages are based on 2016 cost responsibility assignments from the OATT.  The cost allocation percentages may change during actual Delivery Year. </t>
  </si>
  <si>
    <t>AA2-054 - Pamphrey 230 kV Upgrade (effective 2019/2020)</t>
  </si>
  <si>
    <t>b1251.1, b1251: Re-build the existing and build a second Raphael-Bagley 230 kV (effective 2017/2018)</t>
  </si>
  <si>
    <t>Y1-082:  Uprate bus equipment at Wye Mills 69 kV substation (effective 2016/2017)</t>
  </si>
  <si>
    <t>Y3-082:  Upgrade Easton-Trappe Tap 69 kV circuit to 136/174 MVA SN/SE (effective 2017/2018).</t>
  </si>
  <si>
    <t>Z2-017: Bristers Ox 500 kV (effective 2018/2019).</t>
  </si>
  <si>
    <t>1st Incremental Auction</t>
  </si>
  <si>
    <t>Base Zonal UCAP Obligation (MW)</t>
  </si>
  <si>
    <t>Preliminary Zonal Capacity Price ($/MW-day)</t>
  </si>
  <si>
    <t>Adjusted Zonal UCAP Obligation      (MW)</t>
  </si>
  <si>
    <t>Adjusted Zonal Capacity Price          ($/MW-day)</t>
  </si>
  <si>
    <t>Updated Zonal CTR Credit Rate ($/MW-UCAP Obligation-day)</t>
  </si>
  <si>
    <t>Adjusted Zonal Net Load Price         ($/MW-day)</t>
  </si>
  <si>
    <t>Resource Clearing Prices [$/MW-day]</t>
  </si>
  <si>
    <t>Participant Buy Bids/Sell Offers Cleared</t>
  </si>
  <si>
    <t>Participant Sell Offers Cleared [MW]</t>
  </si>
  <si>
    <t>Net Participant Buy Bids/Sell Offers Cleared * [MW]</t>
  </si>
  <si>
    <t>Capacity Performance Resoources</t>
  </si>
  <si>
    <t>Base Capacity Generation Resources</t>
  </si>
  <si>
    <t>Base Capacity DR/EE Resources</t>
  </si>
  <si>
    <t>Total Resources</t>
  </si>
  <si>
    <t>* A positive net particpant buy bid/sell offer cleared represents a net purchase of capacity by participants.</t>
  </si>
  <si>
    <t>* A negative net participant buy bid/sell offer cleared represents a net sale of capacity by participants.</t>
  </si>
  <si>
    <t>PJM Buy Bids/Sell Offers Cleared</t>
  </si>
  <si>
    <t xml:space="preserve"> Defined PJM Buy Bids/Sell Offers only apply in Incremental Auctions.  Variable Resource Requirement Curve (VRR) used in the clearing of the Base Residual Auction. </t>
  </si>
  <si>
    <t>Net PJM Buy Bids/Sell Offers Cleared ** [MW]</t>
  </si>
  <si>
    <t>**A positive net PJM buy bid/sell offer cleared represents a net purchase of capacity by PJM.</t>
  </si>
  <si>
    <t>** A negative net PJM buy bid/sell offer cleared represents a net release of committed capacity by PJM.</t>
  </si>
  <si>
    <t>Base Zonal UCAP Obligation         (MW)</t>
  </si>
  <si>
    <t>COMED ***</t>
  </si>
  <si>
    <t xml:space="preserve">1st Incremental Auction Adjusted Zonal Capacity Prices &amp; Adjusted Zonal CTR Credit Rates are determined based on the results of the Base Residual Auction and 1st Incremental Auctions for the DY. </t>
  </si>
  <si>
    <t>*** Obligation affected by FRR quantities.</t>
  </si>
  <si>
    <t>Base Capacity Resource Price Decrement in LDA
 [$/MW-day]</t>
  </si>
  <si>
    <t>NORTH  ***</t>
  </si>
  <si>
    <t xml:space="preserve">WEST 2 *** </t>
  </si>
  <si>
    <t>Participant Buy Bids/Sell Offers Cleared &amp; Make-Whole MWs</t>
  </si>
  <si>
    <t>Participant Buy Bids Cleared [MW]</t>
  </si>
  <si>
    <t>Net Participant Buy Bid/Sell Offers Cleared [MW]</t>
  </si>
  <si>
    <t>Make-Whole [MW]</t>
  </si>
  <si>
    <t>Capacity Performance Resources</t>
  </si>
  <si>
    <t>PJM Buy Bids Cleared [MW]</t>
  </si>
  <si>
    <t>PJM Sell Offers Cleared [MW]</t>
  </si>
  <si>
    <t>Net PJM Buy Bid/Sell Offers Cleared [MW]</t>
  </si>
  <si>
    <t>Auction Credits/Charges</t>
  </si>
  <si>
    <t>Auction Charge for Participant Buy Bids [$/MW-Day]</t>
  </si>
  <si>
    <t>Auction Credit for Participant Sell Offer [$/MW-Day]</t>
  </si>
  <si>
    <t>Net Auction Charge/Credit for Participant Buy Bid/Sell Offer [$/MW-Day]</t>
  </si>
  <si>
    <t>Make-Whole Credits</t>
  </si>
  <si>
    <t>Make-Whole Credits [$/Day]</t>
  </si>
  <si>
    <t>Make-whole Costs assessed to LSEs through Zonal Capacity Price [$/day]</t>
  </si>
  <si>
    <t>Make-whole Costs to Participant Buy Bids [$/day]</t>
  </si>
  <si>
    <t>RTO Reliability Requirement [MW]</t>
  </si>
  <si>
    <t>LDA Capacity Price Components</t>
  </si>
  <si>
    <t>Updated LDA UCAP Obligation [MW]</t>
  </si>
  <si>
    <t>Weighted System Marginal Price [$/MW-day]</t>
  </si>
  <si>
    <t>Weighted Locational Price Adder* Applicable to LDA             [$/MW-day]</t>
  </si>
  <si>
    <t>Adjustment due to Make Whole                      ($/day)</t>
  </si>
  <si>
    <t>Adjusted LDA Capacity Price [$/MW-day]</t>
  </si>
  <si>
    <t>Reference LDA* Capacity Price [$/MW-day]</t>
  </si>
  <si>
    <t>BRA &amp; 1st IA Net Participant Buy Bid/Sell Offers Cleared</t>
  </si>
  <si>
    <t>Additional Weighted Locational Price Adder with respect to Reference LDA  [$/MW-day]</t>
  </si>
  <si>
    <t>Adjusted Zonal Capacity Price [$/MW-day]</t>
  </si>
  <si>
    <t>*Reference LDA is EMAAC for PS and DPL, and RTO for ATSI.</t>
  </si>
  <si>
    <t>Updated Zonal Results</t>
  </si>
  <si>
    <t>Updated Zonal RPM Scaling Factor</t>
  </si>
  <si>
    <t>Updated Zonal UCAP Obligation    [MW]</t>
  </si>
  <si>
    <t>Adjusted Zonal Capacity Price           [$/MW-day]</t>
  </si>
  <si>
    <t>AEP #</t>
  </si>
  <si>
    <t>DEOK #</t>
  </si>
  <si>
    <t>EKPC#</t>
  </si>
  <si>
    <t># Obligation affected by FRR quantities</t>
  </si>
  <si>
    <t>Net Participant Buy Bid/Sell Offers Cleared</t>
  </si>
  <si>
    <t>Total Updated CTRs [MW] *</t>
  </si>
  <si>
    <t>Remaining CTRs for Required Transmission Enhancements, Customer-Funded Upgrades, &amp; LSEs [MW]</t>
  </si>
  <si>
    <t xml:space="preserve"> Required Transmission Enhancements ICTRs  [MW]</t>
  </si>
  <si>
    <t>* CTR MWs are adjusted slightly to accommodate certain grandfathered arrangements.</t>
  </si>
  <si>
    <t>Weighted Locational Price Adder</t>
  </si>
  <si>
    <t>Updated CTRs Allocated = Max of the LDA CTRs Allocated to LSEs [MW]</t>
  </si>
  <si>
    <t>Total Updated Economic Value of LSE CTRs [$/day]</t>
  </si>
  <si>
    <t>Updated Zonal CTR Credit Rate [$/MW UCAP Obligation per Day]</t>
  </si>
  <si>
    <t>Updated Zonal CTR Settlement Rate [$/MW CTR per day]</t>
  </si>
  <si>
    <t>Weighted Locational Price Adder is with respect to immediate higher level LDA.</t>
  </si>
  <si>
    <t>CTRs Allocated, Economic Value of CTRs, CTR Credit Rates, and CTR Settlement Rates are not final and may change due to future Incremental Auction results.</t>
  </si>
  <si>
    <t>2019/2020 DY 1st IA Resource Clearing Results</t>
  </si>
  <si>
    <t>***  No external capacity modeled in the External Source Zones was offered in 2019/2020 1st IA.</t>
  </si>
  <si>
    <t>2019/2020 DY 1st IA Load Pricing Results</t>
  </si>
  <si>
    <t>2019/2020 1st IA CTRs</t>
  </si>
  <si>
    <t xml:space="preserve">2019/2020 1st IA ICTRs </t>
  </si>
  <si>
    <t>2016 W/N Coincident Peak Load                    [MW]</t>
  </si>
  <si>
    <t>1st IA 2019/2020 Zonal Peak Load Forecast            [MW]</t>
  </si>
  <si>
    <t>Remaining CTRs for LSEs                      [MW]</t>
  </si>
  <si>
    <t>CTRs Allocated to LSEs                      [MW]</t>
  </si>
  <si>
    <t>Economic Value of LSE CTRs           [$/day]</t>
  </si>
  <si>
    <t>Preliminary Zonal Net Load Price       ($/MW-day)</t>
  </si>
  <si>
    <t>Preliminary Zonal Net Load Price         ($/MW-day)</t>
  </si>
  <si>
    <t>ComEd</t>
  </si>
  <si>
    <t>Dayton</t>
  </si>
  <si>
    <t>Duke Energy OH/KY</t>
  </si>
  <si>
    <t>Duquesne</t>
  </si>
  <si>
    <t>Delmarva</t>
  </si>
  <si>
    <t>Dominion</t>
  </si>
  <si>
    <t>HTP</t>
  </si>
  <si>
    <t>MetEd</t>
  </si>
  <si>
    <t>Penelec</t>
  </si>
  <si>
    <t>PPL</t>
  </si>
  <si>
    <t>PSEG</t>
  </si>
  <si>
    <t>Rockland</t>
  </si>
  <si>
    <t>East Coast Power</t>
  </si>
  <si>
    <t xml:space="preserve">Note:  Cost Allocation Percentages are based on 2017 cost responsibility assignments from the OATT.  The cost allocation percentages may change during actual Delivery Year. </t>
  </si>
  <si>
    <t>2019/2020 DY BRA, 1st IA, 2nd IA:  Zonal UCAP Obligations, Zonal Capacity Prices, Zonal CTR Credit Rate, and Zonal Net Load Prices</t>
  </si>
  <si>
    <t>2nd Incremental Auction</t>
  </si>
  <si>
    <t>2019/2020 DY BRA, 1st &amp; 2nd IA Summary of Auction Results</t>
  </si>
  <si>
    <t>2019/2020 DY 2nd IA Resource Clearing Results</t>
  </si>
  <si>
    <t>***  No external capacity modeled in the External Source Zones was offered in 2019/2020 2nd IA.</t>
  </si>
  <si>
    <t>2019/2020 DY 2nd IA Load Pricing Results</t>
  </si>
  <si>
    <t>BRA &amp; IA Net Participant Buy Bid/Sell Offers Cleared</t>
  </si>
  <si>
    <t>2017 W/N Coincident Peak Load                    [MW]</t>
  </si>
  <si>
    <t>2nd IA 2019/2020 Zonal Peak Load Forecast            [MW]</t>
  </si>
  <si>
    <t>2019/2020 2nd IA CTRs</t>
  </si>
  <si>
    <t xml:space="preserve">2019/2020 2nd IA ICTRs </t>
  </si>
  <si>
    <r>
      <t xml:space="preserve">b2443: Construct new underground 230 kV line fromGlebe to Station C (2018/2019).                              </t>
    </r>
    <r>
      <rPr>
        <b/>
        <sz val="10"/>
        <color indexed="10"/>
        <rFont val="Calibri"/>
        <family val="2"/>
      </rPr>
      <t xml:space="preserve"> UPGRADE DELAYED</t>
    </r>
  </si>
  <si>
    <t xml:space="preserve">Note:  Cost Allocation Percentages are based on 2018 cost responsibility assignments from the OATT.  The cost allocation percentages may change during actual Delivery Year. </t>
  </si>
  <si>
    <t>Adjusted ICTR ** [MW]</t>
  </si>
  <si>
    <t>** Certified ICTRs are adjusted to zero as the Weighted Locational Price is negative.</t>
  </si>
  <si>
    <t>#80723234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</si>
</sst>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&quot;$&quot;#,##0.0"/>
    <numFmt numFmtId="168" formatCode="#,##0.000000"/>
    <numFmt numFmtId="169" formatCode="0.000%"/>
    <numFmt numFmtId="170" formatCode="0.00000"/>
    <numFmt numFmtId="171" formatCode="&quot;$&quot;#,##0.000000"/>
    <numFmt numFmtId="172" formatCode="0.0000%"/>
    <numFmt numFmtId="173" formatCode="0.0000"/>
    <numFmt numFmtId="174" formatCode="#,##0.0"/>
    <numFmt numFmtId="175" formatCode="#,##0.00000"/>
    <numFmt numFmtId="176" formatCode="_([$$-409]* #,##0.00_);_([$$-409]* \(#,##0.00\);_([$$-409]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000"/>
    <numFmt numFmtId="182" formatCode="#,##0.0000000"/>
    <numFmt numFmtId="183" formatCode="&quot;$&quot;#,##0.0000000000000"/>
    <numFmt numFmtId="184" formatCode="&quot;$&quot;#,##0.000000000"/>
    <numFmt numFmtId="185" formatCode="&quot;$&quot;#,##0.0000000"/>
    <numFmt numFmtId="186" formatCode="&quot;$&quot;#,##0.00000000"/>
    <numFmt numFmtId="187" formatCode="0.0000000"/>
    <numFmt numFmtId="188" formatCode="0.000000"/>
    <numFmt numFmtId="189" formatCode="0.000"/>
    <numFmt numFmtId="190" formatCode="[$-409]dddd\,\ mmmm\ dd\,\ yyyy"/>
    <numFmt numFmtId="191" formatCode="[$-409]h:mm:ss\ AM/PM"/>
    <numFmt numFmtId="192" formatCode="_(* #,##0.0_);_(* \(#,##0.0\);_(* &quot;-&quot;??_);_(@_)"/>
    <numFmt numFmtId="193" formatCode="_(* #,##0.00000_);_(* \(#,##0.00000\);_(* &quot;-&quot;?????_);_(@_)"/>
    <numFmt numFmtId="194" formatCode="&quot;$&quot;#,##0.000"/>
    <numFmt numFmtId="195" formatCode="&quot;$&quot;#,##0.0000"/>
    <numFmt numFmtId="196" formatCode="&quot;$&quot;#,##0.0000000000"/>
    <numFmt numFmtId="197" formatCode="_(* #,##0.0_);_(* \(#,##0.0\);_(* &quot;-&quot;?_);_(@_)"/>
    <numFmt numFmtId="198" formatCode="_(* #,##0.0000_);_(* \(#,##0.0000\);_(* &quot;-&quot;????_);_(@_)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0.00000000"/>
    <numFmt numFmtId="203" formatCode="&quot;$&quot;#,##0"/>
    <numFmt numFmtId="204" formatCode="_(* #,##0.000_);_(* \(#,##0.000\);_(* &quot;-&quot;???_);_(@_)"/>
    <numFmt numFmtId="205" formatCode="_(&quot;$&quot;* #,##0.000_);_(&quot;$&quot;* \(#,##0.000\);_(&quot;$&quot;* &quot;-&quot;??_);_(@_)"/>
    <numFmt numFmtId="206" formatCode="_(&quot;$&quot;* #,##0.0000_);_(&quot;$&quot;* \(#,##0.0000\);_(&quot;$&quot;* &quot;-&quot;??_);_(@_)"/>
    <numFmt numFmtId="207" formatCode="_(&quot;$&quot;* #,##0.00000_);_(&quot;$&quot;* \(#,##0.00000\);_(&quot;$&quot;* &quot;-&quot;??_);_(@_)"/>
    <numFmt numFmtId="208" formatCode="_(&quot;$&quot;* #,##0.000000_);_(&quot;$&quot;* \(#,##0.000000\);_(&quot;$&quot;* &quot;-&quot;??_);_(@_)"/>
    <numFmt numFmtId="209" formatCode="_(* #,##0.0000000_);_(* \(#,##0.0000000\);_(* &quot;-&quot;???????_);_(@_)"/>
    <numFmt numFmtId="210" formatCode="_(* #,##0_);_(* \(#,##0\);_(* &quot;-&quot;??_);_(@_)"/>
    <numFmt numFmtId="211" formatCode="_(* #,##0.000000_);_(* \(#,##0.000000\);_(* &quot;-&quot;??_);_(@_)"/>
    <numFmt numFmtId="212" formatCode="_(* #,##0.000000000_);_(* \(#,##0.000000000\);_(* &quot;-&quot;??_);_(@_)"/>
    <numFmt numFmtId="213" formatCode="_(* #,##0.0000000_);_(* \(#,##0.0000000\);_(* &quot;-&quot;??_);_(@_)"/>
    <numFmt numFmtId="214" formatCode="_(* #,##0.00000000_);_(* \(#,##0.00000000\);_(* &quot;-&quot;??_);_(@_)"/>
    <numFmt numFmtId="215" formatCode="&quot;$&quot;#,##0.00000000000"/>
    <numFmt numFmtId="216" formatCode="0.000000000"/>
    <numFmt numFmtId="217" formatCode="0.000000000000"/>
    <numFmt numFmtId="218" formatCode="&quot;$&quot;#,##0.0_);\(&quot;$&quot;#,##0.0\)"/>
    <numFmt numFmtId="219" formatCode="&quot;$&quot;#,##0.000000000000"/>
    <numFmt numFmtId="220" formatCode="0.0000000000000"/>
    <numFmt numFmtId="221" formatCode="0.00000000000000"/>
    <numFmt numFmtId="222" formatCode="0.000000000000000"/>
    <numFmt numFmtId="223" formatCode="0.0000000000000000"/>
    <numFmt numFmtId="224" formatCode="_(* #,##0.0000000000_);_(* \(#,##0.0000000000\);_(* &quot;-&quot;??_);_(@_)"/>
    <numFmt numFmtId="225" formatCode="_(* #,##0.00000000000_);_(* \(#,##0.00000000000\);_(* &quot;-&quot;??_);_(@_)"/>
    <numFmt numFmtId="226" formatCode="_(* #,##0.000000000000_);_(* \(#,##0.000000000000\);_(* &quot;-&quot;??_);_(@_)"/>
    <numFmt numFmtId="227" formatCode="_(* #,##0.000000000000_);_(* \(#,##0.000000000000\);_(* &quot;-&quot;????????????_);_(@_)"/>
  </numFmts>
  <fonts count="70">
    <font>
      <sz val="10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1"/>
      <color indexed="56"/>
      <name val="Calibri"/>
      <family val="2"/>
    </font>
    <font>
      <b/>
      <i/>
      <sz val="14"/>
      <color indexed="10"/>
      <name val="Arial"/>
      <family val="2"/>
    </font>
    <font>
      <b/>
      <sz val="10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i/>
      <sz val="10"/>
      <color indexed="10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1"/>
      <color rgb="FF000000"/>
      <name val="Calibri"/>
      <family val="2"/>
    </font>
    <font>
      <i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0" fontId="64" fillId="0" borderId="0" xfId="0" applyFont="1" applyAlignment="1">
      <alignment/>
    </xf>
    <xf numFmtId="174" fontId="0" fillId="0" borderId="0" xfId="0" applyNumberFormat="1" applyFont="1" applyAlignment="1">
      <alignment/>
    </xf>
    <xf numFmtId="44" fontId="3" fillId="0" borderId="0" xfId="45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65" fillId="0" borderId="0" xfId="0" applyFont="1" applyFill="1" applyBorder="1" applyAlignment="1">
      <alignment horizontal="left"/>
    </xf>
    <xf numFmtId="0" fontId="63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5" fontId="63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1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wrapText="1"/>
    </xf>
    <xf numFmtId="0" fontId="32" fillId="0" borderId="0" xfId="0" applyFont="1" applyBorder="1" applyAlignment="1">
      <alignment wrapText="1"/>
    </xf>
    <xf numFmtId="0" fontId="33" fillId="0" borderId="0" xfId="0" applyFont="1" applyBorder="1" applyAlignment="1">
      <alignment horizontal="center" wrapText="1"/>
    </xf>
    <xf numFmtId="0" fontId="32" fillId="0" borderId="0" xfId="0" applyFont="1" applyAlignment="1">
      <alignment wrapText="1"/>
    </xf>
    <xf numFmtId="0" fontId="32" fillId="0" borderId="10" xfId="0" applyFont="1" applyBorder="1" applyAlignment="1">
      <alignment/>
    </xf>
    <xf numFmtId="165" fontId="32" fillId="0" borderId="10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165" fontId="32" fillId="0" borderId="0" xfId="0" applyNumberFormat="1" applyFont="1" applyFill="1" applyBorder="1" applyAlignment="1">
      <alignment horizontal="right"/>
    </xf>
    <xf numFmtId="165" fontId="32" fillId="0" borderId="0" xfId="0" applyNumberFormat="1" applyFont="1" applyBorder="1" applyAlignment="1">
      <alignment horizontal="right"/>
    </xf>
    <xf numFmtId="165" fontId="32" fillId="0" borderId="10" xfId="0" applyNumberFormat="1" applyFont="1" applyFill="1" applyBorder="1" applyAlignment="1">
      <alignment horizontal="right"/>
    </xf>
    <xf numFmtId="165" fontId="32" fillId="0" borderId="0" xfId="0" applyNumberFormat="1" applyFont="1" applyBorder="1" applyAlignment="1">
      <alignment/>
    </xf>
    <xf numFmtId="165" fontId="66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164" fontId="32" fillId="0" borderId="0" xfId="0" applyNumberFormat="1" applyFont="1" applyBorder="1" applyAlignment="1">
      <alignment horizontal="right"/>
    </xf>
    <xf numFmtId="165" fontId="33" fillId="0" borderId="0" xfId="0" applyNumberFormat="1" applyFont="1" applyBorder="1" applyAlignment="1">
      <alignment horizontal="right"/>
    </xf>
    <xf numFmtId="165" fontId="33" fillId="0" borderId="0" xfId="0" applyNumberFormat="1" applyFont="1" applyBorder="1" applyAlignment="1">
      <alignment horizontal="center"/>
    </xf>
    <xf numFmtId="165" fontId="33" fillId="0" borderId="10" xfId="0" applyNumberFormat="1" applyFont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192" fontId="32" fillId="0" borderId="10" xfId="42" applyNumberFormat="1" applyFont="1" applyBorder="1" applyAlignment="1">
      <alignment/>
    </xf>
    <xf numFmtId="174" fontId="32" fillId="0" borderId="10" xfId="0" applyNumberFormat="1" applyFont="1" applyFill="1" applyBorder="1" applyAlignment="1">
      <alignment horizontal="right"/>
    </xf>
    <xf numFmtId="192" fontId="32" fillId="0" borderId="10" xfId="42" applyNumberFormat="1" applyFont="1" applyFill="1" applyBorder="1" applyAlignment="1">
      <alignment horizontal="right"/>
    </xf>
    <xf numFmtId="1" fontId="32" fillId="0" borderId="10" xfId="42" applyNumberFormat="1" applyFont="1" applyFill="1" applyBorder="1" applyAlignment="1">
      <alignment horizontal="right"/>
    </xf>
    <xf numFmtId="192" fontId="32" fillId="0" borderId="0" xfId="0" applyNumberFormat="1" applyFont="1" applyBorder="1" applyAlignment="1">
      <alignment/>
    </xf>
    <xf numFmtId="0" fontId="32" fillId="0" borderId="11" xfId="0" applyFont="1" applyBorder="1" applyAlignment="1">
      <alignment/>
    </xf>
    <xf numFmtId="174" fontId="32" fillId="0" borderId="10" xfId="0" applyNumberFormat="1" applyFont="1" applyBorder="1" applyAlignment="1">
      <alignment horizontal="right"/>
    </xf>
    <xf numFmtId="174" fontId="32" fillId="0" borderId="10" xfId="0" applyNumberFormat="1" applyFont="1" applyBorder="1" applyAlignment="1">
      <alignment/>
    </xf>
    <xf numFmtId="165" fontId="32" fillId="0" borderId="10" xfId="0" applyNumberFormat="1" applyFont="1" applyBorder="1" applyAlignment="1">
      <alignment/>
    </xf>
    <xf numFmtId="165" fontId="32" fillId="0" borderId="12" xfId="0" applyNumberFormat="1" applyFont="1" applyBorder="1" applyAlignment="1">
      <alignment/>
    </xf>
    <xf numFmtId="165" fontId="32" fillId="0" borderId="0" xfId="0" applyNumberFormat="1" applyFont="1" applyAlignment="1">
      <alignment/>
    </xf>
    <xf numFmtId="0" fontId="32" fillId="0" borderId="11" xfId="0" applyFont="1" applyFill="1" applyBorder="1" applyAlignment="1">
      <alignment/>
    </xf>
    <xf numFmtId="174" fontId="33" fillId="0" borderId="10" xfId="0" applyNumberFormat="1" applyFont="1" applyBorder="1" applyAlignment="1">
      <alignment horizontal="right"/>
    </xf>
    <xf numFmtId="174" fontId="32" fillId="0" borderId="0" xfId="0" applyNumberFormat="1" applyFont="1" applyBorder="1" applyAlignment="1">
      <alignment horizontal="right"/>
    </xf>
    <xf numFmtId="174" fontId="32" fillId="0" borderId="0" xfId="0" applyNumberFormat="1" applyFont="1" applyBorder="1" applyAlignment="1">
      <alignment horizontal="left"/>
    </xf>
    <xf numFmtId="174" fontId="32" fillId="0" borderId="0" xfId="0" applyNumberFormat="1" applyFont="1" applyBorder="1" applyAlignment="1">
      <alignment/>
    </xf>
    <xf numFmtId="165" fontId="33" fillId="0" borderId="13" xfId="0" applyNumberFormat="1" applyFont="1" applyBorder="1" applyAlignment="1">
      <alignment/>
    </xf>
    <xf numFmtId="0" fontId="34" fillId="0" borderId="0" xfId="0" applyFont="1" applyFill="1" applyBorder="1" applyAlignment="1">
      <alignment/>
    </xf>
    <xf numFmtId="0" fontId="33" fillId="7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165" fontId="32" fillId="0" borderId="0" xfId="0" applyNumberFormat="1" applyFont="1" applyFill="1" applyBorder="1" applyAlignment="1">
      <alignment horizontal="left"/>
    </xf>
    <xf numFmtId="0" fontId="32" fillId="0" borderId="0" xfId="0" applyFon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165" fontId="33" fillId="0" borderId="0" xfId="0" applyNumberFormat="1" applyFont="1" applyFill="1" applyBorder="1" applyAlignment="1">
      <alignment horizontal="right"/>
    </xf>
    <xf numFmtId="0" fontId="32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left" vertical="center"/>
    </xf>
    <xf numFmtId="165" fontId="32" fillId="0" borderId="0" xfId="0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174" fontId="33" fillId="0" borderId="10" xfId="0" applyNumberFormat="1" applyFont="1" applyBorder="1" applyAlignment="1">
      <alignment/>
    </xf>
    <xf numFmtId="165" fontId="33" fillId="0" borderId="10" xfId="0" applyNumberFormat="1" applyFont="1" applyBorder="1" applyAlignment="1">
      <alignment/>
    </xf>
    <xf numFmtId="174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165" fontId="32" fillId="0" borderId="0" xfId="0" applyNumberFormat="1" applyFont="1" applyBorder="1" applyAlignment="1">
      <alignment horizontal="center" wrapText="1"/>
    </xf>
    <xf numFmtId="164" fontId="67" fillId="0" borderId="0" xfId="0" applyNumberFormat="1" applyFont="1" applyBorder="1" applyAlignment="1">
      <alignment horizontal="center"/>
    </xf>
    <xf numFmtId="165" fontId="32" fillId="0" borderId="0" xfId="42" applyNumberFormat="1" applyFont="1" applyBorder="1" applyAlignment="1">
      <alignment horizontal="center"/>
    </xf>
    <xf numFmtId="192" fontId="32" fillId="0" borderId="0" xfId="42" applyNumberFormat="1" applyFont="1" applyBorder="1" applyAlignment="1">
      <alignment horizontal="center"/>
    </xf>
    <xf numFmtId="192" fontId="66" fillId="0" borderId="0" xfId="42" applyNumberFormat="1" applyFont="1" applyBorder="1" applyAlignment="1">
      <alignment horizontal="left"/>
    </xf>
    <xf numFmtId="164" fontId="32" fillId="0" borderId="0" xfId="0" applyNumberFormat="1" applyFont="1" applyBorder="1" applyAlignment="1">
      <alignment horizontal="center"/>
    </xf>
    <xf numFmtId="165" fontId="32" fillId="0" borderId="0" xfId="45" applyNumberFormat="1" applyFont="1" applyBorder="1" applyAlignment="1">
      <alignment horizontal="center"/>
    </xf>
    <xf numFmtId="164" fontId="32" fillId="0" borderId="0" xfId="0" applyNumberFormat="1" applyFont="1" applyBorder="1" applyAlignment="1">
      <alignment/>
    </xf>
    <xf numFmtId="164" fontId="32" fillId="0" borderId="0" xfId="0" applyNumberFormat="1" applyFont="1" applyAlignment="1">
      <alignment/>
    </xf>
    <xf numFmtId="174" fontId="32" fillId="0" borderId="0" xfId="0" applyNumberFormat="1" applyFont="1" applyAlignment="1">
      <alignment/>
    </xf>
    <xf numFmtId="4" fontId="32" fillId="0" borderId="0" xfId="0" applyNumberFormat="1" applyFont="1" applyBorder="1" applyAlignment="1">
      <alignment horizontal="right"/>
    </xf>
    <xf numFmtId="193" fontId="32" fillId="0" borderId="0" xfId="0" applyNumberFormat="1" applyFont="1" applyAlignment="1">
      <alignment/>
    </xf>
    <xf numFmtId="165" fontId="32" fillId="0" borderId="10" xfId="42" applyNumberFormat="1" applyFont="1" applyBorder="1" applyAlignment="1">
      <alignment horizontal="right"/>
    </xf>
    <xf numFmtId="0" fontId="67" fillId="0" borderId="10" xfId="0" applyFont="1" applyBorder="1" applyAlignment="1">
      <alignment/>
    </xf>
    <xf numFmtId="165" fontId="32" fillId="0" borderId="10" xfId="0" applyNumberFormat="1" applyFont="1" applyBorder="1" applyAlignment="1">
      <alignment horizontal="right" wrapText="1"/>
    </xf>
    <xf numFmtId="0" fontId="32" fillId="0" borderId="0" xfId="0" applyFont="1" applyFill="1" applyBorder="1" applyAlignment="1">
      <alignment horizontal="left" wrapText="1"/>
    </xf>
    <xf numFmtId="188" fontId="38" fillId="0" borderId="0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0" fontId="67" fillId="0" borderId="0" xfId="0" applyNumberFormat="1" applyFont="1" applyBorder="1" applyAlignment="1">
      <alignment horizontal="center" wrapText="1"/>
    </xf>
    <xf numFmtId="0" fontId="33" fillId="0" borderId="14" xfId="0" applyNumberFormat="1" applyFont="1" applyFill="1" applyBorder="1" applyAlignment="1">
      <alignment horizontal="center" wrapText="1"/>
    </xf>
    <xf numFmtId="0" fontId="33" fillId="0" borderId="15" xfId="0" applyNumberFormat="1" applyFont="1" applyFill="1" applyBorder="1" applyAlignment="1">
      <alignment horizontal="center" wrapText="1"/>
    </xf>
    <xf numFmtId="0" fontId="33" fillId="0" borderId="16" xfId="0" applyNumberFormat="1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170" fontId="32" fillId="0" borderId="10" xfId="0" applyNumberFormat="1" applyFont="1" applyBorder="1" applyAlignment="1">
      <alignment/>
    </xf>
    <xf numFmtId="192" fontId="32" fillId="0" borderId="10" xfId="42" applyNumberFormat="1" applyFont="1" applyFill="1" applyBorder="1" applyAlignment="1">
      <alignment/>
    </xf>
    <xf numFmtId="0" fontId="32" fillId="0" borderId="17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7" fontId="32" fillId="0" borderId="10" xfId="0" applyNumberFormat="1" applyFont="1" applyFill="1" applyBorder="1" applyAlignment="1">
      <alignment horizontal="right"/>
    </xf>
    <xf numFmtId="192" fontId="0" fillId="0" borderId="0" xfId="0" applyNumberFormat="1" applyFont="1" applyAlignment="1">
      <alignment/>
    </xf>
    <xf numFmtId="7" fontId="32" fillId="0" borderId="0" xfId="0" applyNumberFormat="1" applyFont="1" applyBorder="1" applyAlignment="1">
      <alignment/>
    </xf>
    <xf numFmtId="7" fontId="32" fillId="0" borderId="0" xfId="0" applyNumberFormat="1" applyFont="1" applyFill="1" applyBorder="1" applyAlignment="1">
      <alignment horizontal="left" wrapText="1"/>
    </xf>
    <xf numFmtId="43" fontId="32" fillId="0" borderId="0" xfId="0" applyNumberFormat="1" applyFont="1" applyBorder="1" applyAlignment="1">
      <alignment/>
    </xf>
    <xf numFmtId="0" fontId="32" fillId="0" borderId="0" xfId="0" applyFont="1" applyFill="1" applyBorder="1" applyAlignment="1">
      <alignment/>
    </xf>
    <xf numFmtId="192" fontId="32" fillId="0" borderId="10" xfId="42" applyNumberFormat="1" applyFont="1" applyBorder="1" applyAlignment="1">
      <alignment horizontal="right"/>
    </xf>
    <xf numFmtId="0" fontId="35" fillId="0" borderId="0" xfId="0" applyFont="1" applyFill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right"/>
    </xf>
    <xf numFmtId="0" fontId="33" fillId="0" borderId="15" xfId="0" applyFont="1" applyBorder="1" applyAlignment="1">
      <alignment horizont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wrapText="1"/>
    </xf>
    <xf numFmtId="0" fontId="32" fillId="0" borderId="11" xfId="0" applyFont="1" applyBorder="1" applyAlignment="1">
      <alignment horizontal="left"/>
    </xf>
    <xf numFmtId="3" fontId="32" fillId="0" borderId="10" xfId="0" applyNumberFormat="1" applyFont="1" applyBorder="1" applyAlignment="1">
      <alignment horizontal="right"/>
    </xf>
    <xf numFmtId="0" fontId="32" fillId="0" borderId="10" xfId="0" applyNumberFormat="1" applyFont="1" applyBorder="1" applyAlignment="1">
      <alignment horizontal="right"/>
    </xf>
    <xf numFmtId="0" fontId="32" fillId="0" borderId="11" xfId="0" applyFont="1" applyFill="1" applyBorder="1" applyAlignment="1">
      <alignment horizontal="left"/>
    </xf>
    <xf numFmtId="164" fontId="32" fillId="0" borderId="10" xfId="42" applyNumberFormat="1" applyFont="1" applyBorder="1" applyAlignment="1">
      <alignment/>
    </xf>
    <xf numFmtId="0" fontId="32" fillId="0" borderId="18" xfId="0" applyFont="1" applyFill="1" applyBorder="1" applyAlignment="1">
      <alignment horizontal="left"/>
    </xf>
    <xf numFmtId="192" fontId="32" fillId="0" borderId="17" xfId="42" applyNumberFormat="1" applyFont="1" applyBorder="1" applyAlignment="1">
      <alignment/>
    </xf>
    <xf numFmtId="164" fontId="32" fillId="0" borderId="17" xfId="42" applyNumberFormat="1" applyFont="1" applyBorder="1" applyAlignment="1">
      <alignment/>
    </xf>
    <xf numFmtId="3" fontId="32" fillId="0" borderId="17" xfId="0" applyNumberFormat="1" applyFont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165" fontId="33" fillId="0" borderId="0" xfId="0" applyNumberFormat="1" applyFont="1" applyBorder="1" applyAlignment="1">
      <alignment/>
    </xf>
    <xf numFmtId="0" fontId="67" fillId="0" borderId="0" xfId="0" applyFont="1" applyBorder="1" applyAlignment="1">
      <alignment/>
    </xf>
    <xf numFmtId="164" fontId="32" fillId="0" borderId="0" xfId="0" applyNumberFormat="1" applyFont="1" applyAlignment="1">
      <alignment horizontal="left"/>
    </xf>
    <xf numFmtId="165" fontId="32" fillId="0" borderId="13" xfId="0" applyNumberFormat="1" applyFont="1" applyBorder="1" applyAlignment="1">
      <alignment horizontal="center" vertical="center"/>
    </xf>
    <xf numFmtId="164" fontId="32" fillId="0" borderId="11" xfId="0" applyNumberFormat="1" applyFont="1" applyBorder="1" applyAlignment="1">
      <alignment horizontal="right"/>
    </xf>
    <xf numFmtId="165" fontId="32" fillId="0" borderId="12" xfId="45" applyNumberFormat="1" applyFont="1" applyBorder="1" applyAlignment="1">
      <alignment horizontal="right"/>
    </xf>
    <xf numFmtId="174" fontId="32" fillId="0" borderId="11" xfId="0" applyNumberFormat="1" applyFont="1" applyBorder="1" applyAlignment="1">
      <alignment horizontal="right"/>
    </xf>
    <xf numFmtId="165" fontId="32" fillId="0" borderId="12" xfId="0" applyNumberFormat="1" applyFont="1" applyBorder="1" applyAlignment="1">
      <alignment horizontal="right"/>
    </xf>
    <xf numFmtId="192" fontId="32" fillId="0" borderId="11" xfId="42" applyNumberFormat="1" applyFont="1" applyBorder="1" applyAlignment="1">
      <alignment horizontal="right"/>
    </xf>
    <xf numFmtId="0" fontId="32" fillId="0" borderId="18" xfId="0" applyFont="1" applyFill="1" applyBorder="1" applyAlignment="1">
      <alignment/>
    </xf>
    <xf numFmtId="164" fontId="32" fillId="0" borderId="19" xfId="0" applyNumberFormat="1" applyFont="1" applyBorder="1" applyAlignment="1">
      <alignment horizontal="right"/>
    </xf>
    <xf numFmtId="165" fontId="32" fillId="0" borderId="20" xfId="45" applyNumberFormat="1" applyFont="1" applyBorder="1" applyAlignment="1">
      <alignment horizontal="right"/>
    </xf>
    <xf numFmtId="164" fontId="33" fillId="0" borderId="21" xfId="0" applyNumberFormat="1" applyFont="1" applyBorder="1" applyAlignment="1">
      <alignment horizontal="right"/>
    </xf>
    <xf numFmtId="165" fontId="33" fillId="0" borderId="22" xfId="45" applyNumberFormat="1" applyFont="1" applyBorder="1" applyAlignment="1">
      <alignment horizontal="right"/>
    </xf>
    <xf numFmtId="174" fontId="32" fillId="0" borderId="21" xfId="0" applyNumberFormat="1" applyFont="1" applyBorder="1" applyAlignment="1">
      <alignment horizontal="right"/>
    </xf>
    <xf numFmtId="165" fontId="33" fillId="0" borderId="23" xfId="45" applyNumberFormat="1" applyFont="1" applyBorder="1" applyAlignment="1">
      <alignment horizontal="right"/>
    </xf>
    <xf numFmtId="44" fontId="33" fillId="0" borderId="23" xfId="45" applyFont="1" applyBorder="1" applyAlignment="1">
      <alignment horizontal="right"/>
    </xf>
    <xf numFmtId="44" fontId="33" fillId="0" borderId="22" xfId="45" applyFont="1" applyBorder="1" applyAlignment="1">
      <alignment horizontal="right"/>
    </xf>
    <xf numFmtId="165" fontId="32" fillId="0" borderId="18" xfId="0" applyNumberFormat="1" applyFont="1" applyBorder="1" applyAlignment="1">
      <alignment horizontal="center" wrapText="1"/>
    </xf>
    <xf numFmtId="165" fontId="32" fillId="0" borderId="13" xfId="45" applyNumberFormat="1" applyFont="1" applyBorder="1" applyAlignment="1">
      <alignment horizontal="center" vertical="center"/>
    </xf>
    <xf numFmtId="0" fontId="33" fillId="0" borderId="24" xfId="0" applyFont="1" applyBorder="1" applyAlignment="1">
      <alignment horizontal="center"/>
    </xf>
    <xf numFmtId="164" fontId="33" fillId="0" borderId="10" xfId="0" applyNumberFormat="1" applyFont="1" applyBorder="1" applyAlignment="1">
      <alignment horizontal="center" vertical="center" wrapText="1"/>
    </xf>
    <xf numFmtId="10" fontId="32" fillId="0" borderId="10" xfId="62" applyNumberFormat="1" applyFont="1" applyFill="1" applyBorder="1" applyAlignment="1">
      <alignment horizontal="right"/>
    </xf>
    <xf numFmtId="10" fontId="33" fillId="0" borderId="0" xfId="0" applyNumberFormat="1" applyFont="1" applyBorder="1" applyAlignment="1">
      <alignment horizontal="right"/>
    </xf>
    <xf numFmtId="165" fontId="33" fillId="0" borderId="12" xfId="0" applyNumberFormat="1" applyFont="1" applyBorder="1" applyAlignment="1">
      <alignment horizontal="center" vertical="center"/>
    </xf>
    <xf numFmtId="0" fontId="32" fillId="0" borderId="25" xfId="0" applyFont="1" applyBorder="1" applyAlignment="1">
      <alignment horizontal="right" vertical="center" wrapText="1"/>
    </xf>
    <xf numFmtId="0" fontId="33" fillId="0" borderId="26" xfId="0" applyNumberFormat="1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165" fontId="33" fillId="0" borderId="15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164" fontId="32" fillId="0" borderId="10" xfId="0" applyNumberFormat="1" applyFont="1" applyBorder="1" applyAlignment="1">
      <alignment horizontal="right"/>
    </xf>
    <xf numFmtId="164" fontId="33" fillId="0" borderId="18" xfId="0" applyNumberFormat="1" applyFont="1" applyBorder="1" applyAlignment="1">
      <alignment horizontal="right"/>
    </xf>
    <xf numFmtId="164" fontId="33" fillId="0" borderId="17" xfId="0" applyNumberFormat="1" applyFont="1" applyBorder="1" applyAlignment="1">
      <alignment horizontal="right"/>
    </xf>
    <xf numFmtId="165" fontId="33" fillId="0" borderId="13" xfId="0" applyNumberFormat="1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3" fillId="0" borderId="14" xfId="0" applyFont="1" applyBorder="1" applyAlignment="1">
      <alignment horizontal="center" vertical="center"/>
    </xf>
    <xf numFmtId="0" fontId="32" fillId="0" borderId="19" xfId="0" applyFont="1" applyBorder="1" applyAlignment="1">
      <alignment/>
    </xf>
    <xf numFmtId="165" fontId="32" fillId="0" borderId="28" xfId="0" applyNumberFormat="1" applyFont="1" applyBorder="1" applyAlignment="1">
      <alignment/>
    </xf>
    <xf numFmtId="165" fontId="32" fillId="0" borderId="20" xfId="0" applyNumberFormat="1" applyFont="1" applyBorder="1" applyAlignment="1">
      <alignment/>
    </xf>
    <xf numFmtId="165" fontId="33" fillId="0" borderId="17" xfId="0" applyNumberFormat="1" applyFont="1" applyBorder="1" applyAlignment="1">
      <alignment/>
    </xf>
    <xf numFmtId="0" fontId="33" fillId="0" borderId="0" xfId="0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right"/>
    </xf>
    <xf numFmtId="164" fontId="33" fillId="0" borderId="0" xfId="0" applyNumberFormat="1" applyFont="1" applyBorder="1" applyAlignment="1">
      <alignment horizontal="right"/>
    </xf>
    <xf numFmtId="164" fontId="32" fillId="0" borderId="0" xfId="0" applyNumberFormat="1" applyFont="1" applyBorder="1" applyAlignment="1">
      <alignment horizontal="right" wrapText="1"/>
    </xf>
    <xf numFmtId="165" fontId="32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164" fontId="66" fillId="0" borderId="0" xfId="0" applyNumberFormat="1" applyFont="1" applyBorder="1" applyAlignment="1">
      <alignment horizontal="center" vertical="center" wrapText="1"/>
    </xf>
    <xf numFmtId="165" fontId="32" fillId="3" borderId="10" xfId="0" applyNumberFormat="1" applyFont="1" applyFill="1" applyBorder="1" applyAlignment="1">
      <alignment horizontal="right"/>
    </xf>
    <xf numFmtId="165" fontId="32" fillId="12" borderId="10" xfId="0" applyNumberFormat="1" applyFont="1" applyFill="1" applyBorder="1" applyAlignment="1">
      <alignment/>
    </xf>
    <xf numFmtId="165" fontId="32" fillId="12" borderId="10" xfId="0" applyNumberFormat="1" applyFont="1" applyFill="1" applyBorder="1" applyAlignment="1">
      <alignment horizontal="right"/>
    </xf>
    <xf numFmtId="7" fontId="32" fillId="12" borderId="10" xfId="0" applyNumberFormat="1" applyFont="1" applyFill="1" applyBorder="1" applyAlignment="1">
      <alignment horizontal="right"/>
    </xf>
    <xf numFmtId="165" fontId="33" fillId="12" borderId="10" xfId="0" applyNumberFormat="1" applyFont="1" applyFill="1" applyBorder="1" applyAlignment="1">
      <alignment horizontal="right"/>
    </xf>
    <xf numFmtId="165" fontId="32" fillId="12" borderId="10" xfId="45" applyNumberFormat="1" applyFont="1" applyFill="1" applyBorder="1" applyAlignment="1">
      <alignment horizontal="right"/>
    </xf>
    <xf numFmtId="165" fontId="32" fillId="12" borderId="10" xfId="42" applyNumberFormat="1" applyFont="1" applyFill="1" applyBorder="1" applyAlignment="1">
      <alignment horizontal="right"/>
    </xf>
    <xf numFmtId="165" fontId="33" fillId="12" borderId="10" xfId="45" applyNumberFormat="1" applyFont="1" applyFill="1" applyBorder="1" applyAlignment="1">
      <alignment/>
    </xf>
    <xf numFmtId="192" fontId="32" fillId="9" borderId="12" xfId="42" applyNumberFormat="1" applyFont="1" applyFill="1" applyBorder="1" applyAlignment="1">
      <alignment horizontal="right"/>
    </xf>
    <xf numFmtId="1" fontId="32" fillId="9" borderId="12" xfId="42" applyNumberFormat="1" applyFont="1" applyFill="1" applyBorder="1" applyAlignment="1">
      <alignment horizontal="right"/>
    </xf>
    <xf numFmtId="1" fontId="32" fillId="9" borderId="13" xfId="42" applyNumberFormat="1" applyFont="1" applyFill="1" applyBorder="1" applyAlignment="1">
      <alignment/>
    </xf>
    <xf numFmtId="0" fontId="33" fillId="12" borderId="15" xfId="0" applyNumberFormat="1" applyFont="1" applyFill="1" applyBorder="1" applyAlignment="1">
      <alignment horizontal="center" wrapText="1"/>
    </xf>
    <xf numFmtId="0" fontId="33" fillId="12" borderId="16" xfId="0" applyNumberFormat="1" applyFont="1" applyFill="1" applyBorder="1" applyAlignment="1">
      <alignment horizontal="center" wrapText="1"/>
    </xf>
    <xf numFmtId="165" fontId="32" fillId="12" borderId="12" xfId="0" applyNumberFormat="1" applyFont="1" applyFill="1" applyBorder="1" applyAlignment="1">
      <alignment horizontal="right"/>
    </xf>
    <xf numFmtId="165" fontId="32" fillId="12" borderId="28" xfId="0" applyNumberFormat="1" applyFont="1" applyFill="1" applyBorder="1" applyAlignment="1">
      <alignment horizontal="right"/>
    </xf>
    <xf numFmtId="165" fontId="32" fillId="12" borderId="20" xfId="0" applyNumberFormat="1" applyFont="1" applyFill="1" applyBorder="1" applyAlignment="1">
      <alignment horizontal="right"/>
    </xf>
    <xf numFmtId="0" fontId="36" fillId="16" borderId="24" xfId="0" applyFont="1" applyFill="1" applyBorder="1" applyAlignment="1">
      <alignment horizontal="center"/>
    </xf>
    <xf numFmtId="0" fontId="36" fillId="18" borderId="28" xfId="0" applyFont="1" applyFill="1" applyBorder="1" applyAlignment="1">
      <alignment horizontal="center"/>
    </xf>
    <xf numFmtId="0" fontId="36" fillId="15" borderId="29" xfId="0" applyFont="1" applyFill="1" applyBorder="1" applyAlignment="1">
      <alignment horizontal="center"/>
    </xf>
    <xf numFmtId="0" fontId="33" fillId="0" borderId="10" xfId="0" applyNumberFormat="1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2" fontId="32" fillId="0" borderId="0" xfId="0" applyNumberFormat="1" applyFont="1" applyBorder="1" applyAlignment="1">
      <alignment/>
    </xf>
    <xf numFmtId="167" fontId="32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2" fillId="0" borderId="10" xfId="0" applyFont="1" applyBorder="1" applyAlignment="1">
      <alignment/>
    </xf>
    <xf numFmtId="0" fontId="33" fillId="0" borderId="10" xfId="0" applyFont="1" applyFill="1" applyBorder="1" applyAlignment="1">
      <alignment horizontal="right"/>
    </xf>
    <xf numFmtId="0" fontId="36" fillId="15" borderId="10" xfId="0" applyFont="1" applyFill="1" applyBorder="1" applyAlignment="1">
      <alignment horizontal="center"/>
    </xf>
    <xf numFmtId="0" fontId="32" fillId="0" borderId="10" xfId="0" applyFont="1" applyBorder="1" applyAlignment="1">
      <alignment wrapText="1"/>
    </xf>
    <xf numFmtId="166" fontId="32" fillId="0" borderId="10" xfId="62" applyNumberFormat="1" applyFont="1" applyFill="1" applyBorder="1" applyAlignment="1">
      <alignment horizontal="right"/>
    </xf>
    <xf numFmtId="173" fontId="32" fillId="0" borderId="10" xfId="62" applyNumberFormat="1" applyFont="1" applyFill="1" applyBorder="1" applyAlignment="1">
      <alignment horizontal="right"/>
    </xf>
    <xf numFmtId="170" fontId="32" fillId="0" borderId="10" xfId="62" applyNumberFormat="1" applyFont="1" applyBorder="1" applyAlignment="1">
      <alignment horizontal="right"/>
    </xf>
    <xf numFmtId="0" fontId="36" fillId="18" borderId="28" xfId="0" applyFont="1" applyFill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3" fillId="11" borderId="10" xfId="0" applyNumberFormat="1" applyFont="1" applyFill="1" applyBorder="1" applyAlignment="1">
      <alignment horizontal="center" wrapText="1"/>
    </xf>
    <xf numFmtId="192" fontId="32" fillId="0" borderId="10" xfId="42" applyNumberFormat="1" applyFont="1" applyFill="1" applyBorder="1" applyAlignment="1">
      <alignment/>
    </xf>
    <xf numFmtId="165" fontId="32" fillId="11" borderId="10" xfId="0" applyNumberFormat="1" applyFont="1" applyFill="1" applyBorder="1" applyAlignment="1">
      <alignment horizontal="right"/>
    </xf>
    <xf numFmtId="192" fontId="33" fillId="0" borderId="10" xfId="42" applyNumberFormat="1" applyFont="1" applyFill="1" applyBorder="1" applyAlignment="1">
      <alignment/>
    </xf>
    <xf numFmtId="0" fontId="33" fillId="0" borderId="10" xfId="0" applyFont="1" applyFill="1" applyBorder="1" applyAlignment="1">
      <alignment/>
    </xf>
    <xf numFmtId="192" fontId="33" fillId="0" borderId="10" xfId="42" applyNumberFormat="1" applyFont="1" applyFill="1" applyBorder="1" applyAlignment="1">
      <alignment/>
    </xf>
    <xf numFmtId="192" fontId="33" fillId="0" borderId="10" xfId="42" applyNumberFormat="1" applyFont="1" applyBorder="1" applyAlignment="1">
      <alignment horizontal="left" indent="2"/>
    </xf>
    <xf numFmtId="164" fontId="33" fillId="0" borderId="10" xfId="0" applyNumberFormat="1" applyFont="1" applyBorder="1" applyAlignment="1">
      <alignment horizontal="center"/>
    </xf>
    <xf numFmtId="0" fontId="36" fillId="17" borderId="10" xfId="0" applyFont="1" applyFill="1" applyBorder="1" applyAlignment="1">
      <alignment horizontal="center"/>
    </xf>
    <xf numFmtId="0" fontId="32" fillId="0" borderId="10" xfId="0" applyFont="1" applyBorder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44" fontId="33" fillId="0" borderId="10" xfId="45" applyFont="1" applyBorder="1" applyAlignment="1">
      <alignment horizontal="center" vertical="center" wrapText="1"/>
    </xf>
    <xf numFmtId="44" fontId="33" fillId="0" borderId="10" xfId="45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164" fontId="32" fillId="0" borderId="11" xfId="0" applyNumberFormat="1" applyFont="1" applyFill="1" applyBorder="1" applyAlignment="1">
      <alignment horizontal="right" vertical="center"/>
    </xf>
    <xf numFmtId="164" fontId="32" fillId="0" borderId="30" xfId="0" applyNumberFormat="1" applyFont="1" applyFill="1" applyBorder="1" applyAlignment="1">
      <alignment horizontal="right" vertical="center"/>
    </xf>
    <xf numFmtId="164" fontId="33" fillId="9" borderId="11" xfId="0" applyNumberFormat="1" applyFont="1" applyFill="1" applyBorder="1" applyAlignment="1">
      <alignment horizontal="right" vertical="center"/>
    </xf>
    <xf numFmtId="164" fontId="33" fillId="9" borderId="30" xfId="0" applyNumberFormat="1" applyFont="1" applyFill="1" applyBorder="1" applyAlignment="1">
      <alignment vertical="center"/>
    </xf>
    <xf numFmtId="164" fontId="33" fillId="0" borderId="11" xfId="0" applyNumberFormat="1" applyFont="1" applyFill="1" applyBorder="1" applyAlignment="1">
      <alignment horizontal="right" vertical="center"/>
    </xf>
    <xf numFmtId="0" fontId="33" fillId="0" borderId="30" xfId="0" applyFont="1" applyFill="1" applyBorder="1" applyAlignment="1">
      <alignment vertical="center"/>
    </xf>
    <xf numFmtId="164" fontId="32" fillId="0" borderId="27" xfId="0" applyNumberFormat="1" applyFont="1" applyFill="1" applyBorder="1" applyAlignment="1">
      <alignment horizontal="right" vertical="center"/>
    </xf>
    <xf numFmtId="164" fontId="33" fillId="9" borderId="30" xfId="0" applyNumberFormat="1" applyFont="1" applyFill="1" applyBorder="1" applyAlignment="1">
      <alignment horizontal="right" vertical="center"/>
    </xf>
    <xf numFmtId="164" fontId="33" fillId="9" borderId="31" xfId="0" applyNumberFormat="1" applyFont="1" applyFill="1" applyBorder="1" applyAlignment="1">
      <alignment horizontal="right" vertical="center"/>
    </xf>
    <xf numFmtId="164" fontId="66" fillId="0" borderId="0" xfId="0" applyNumberFormat="1" applyFont="1" applyFill="1" applyBorder="1" applyAlignment="1">
      <alignment horizontal="center" vertical="center"/>
    </xf>
    <xf numFmtId="10" fontId="3" fillId="0" borderId="0" xfId="59" applyNumberFormat="1" applyFont="1" applyBorder="1" applyAlignment="1">
      <alignment horizontal="right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10" fontId="0" fillId="0" borderId="0" xfId="63" applyNumberFormat="1" applyFont="1" applyFill="1" applyBorder="1" applyAlignment="1">
      <alignment horizontal="right"/>
    </xf>
    <xf numFmtId="0" fontId="36" fillId="18" borderId="10" xfId="0" applyFont="1" applyFill="1" applyBorder="1" applyAlignment="1">
      <alignment horizont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0" fontId="33" fillId="0" borderId="10" xfId="0" applyNumberFormat="1" applyFont="1" applyBorder="1" applyAlignment="1">
      <alignment horizontal="right"/>
    </xf>
    <xf numFmtId="164" fontId="33" fillId="0" borderId="32" xfId="0" applyNumberFormat="1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165" fontId="33" fillId="0" borderId="22" xfId="0" applyNumberFormat="1" applyFont="1" applyBorder="1" applyAlignment="1">
      <alignment horizontal="center" vertical="center"/>
    </xf>
    <xf numFmtId="165" fontId="32" fillId="0" borderId="34" xfId="0" applyNumberFormat="1" applyFont="1" applyBorder="1" applyAlignment="1">
      <alignment/>
    </xf>
    <xf numFmtId="165" fontId="33" fillId="0" borderId="35" xfId="0" applyNumberFormat="1" applyFont="1" applyBorder="1" applyAlignment="1">
      <alignment horizontal="right"/>
    </xf>
    <xf numFmtId="164" fontId="32" fillId="0" borderId="36" xfId="0" applyNumberFormat="1" applyFont="1" applyBorder="1" applyAlignment="1">
      <alignment horizontal="right"/>
    </xf>
    <xf numFmtId="164" fontId="33" fillId="0" borderId="37" xfId="0" applyNumberFormat="1" applyFont="1" applyBorder="1" applyAlignment="1">
      <alignment horizontal="right"/>
    </xf>
    <xf numFmtId="164" fontId="33" fillId="0" borderId="14" xfId="0" applyNumberFormat="1" applyFont="1" applyBorder="1" applyAlignment="1">
      <alignment horizontal="center" vertical="center" wrapText="1"/>
    </xf>
    <xf numFmtId="0" fontId="33" fillId="9" borderId="16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1" fontId="32" fillId="0" borderId="10" xfId="42" applyNumberFormat="1" applyFont="1" applyBorder="1" applyAlignment="1">
      <alignment horizontal="right"/>
    </xf>
    <xf numFmtId="164" fontId="32" fillId="0" borderId="10" xfId="42" applyNumberFormat="1" applyFont="1" applyFill="1" applyBorder="1" applyAlignment="1">
      <alignment/>
    </xf>
    <xf numFmtId="164" fontId="32" fillId="0" borderId="17" xfId="42" applyNumberFormat="1" applyFont="1" applyFill="1" applyBorder="1" applyAlignment="1">
      <alignment/>
    </xf>
    <xf numFmtId="43" fontId="66" fillId="0" borderId="0" xfId="0" applyNumberFormat="1" applyFont="1" applyAlignment="1">
      <alignment/>
    </xf>
    <xf numFmtId="0" fontId="33" fillId="7" borderId="10" xfId="0" applyNumberFormat="1" applyFont="1" applyFill="1" applyBorder="1" applyAlignment="1">
      <alignment horizontal="center" wrapText="1"/>
    </xf>
    <xf numFmtId="192" fontId="32" fillId="7" borderId="10" xfId="42" applyNumberFormat="1" applyFont="1" applyFill="1" applyBorder="1" applyAlignment="1">
      <alignment/>
    </xf>
    <xf numFmtId="0" fontId="33" fillId="0" borderId="38" xfId="0" applyFont="1" applyBorder="1" applyAlignment="1">
      <alignment horizontal="center" vertical="center" wrapText="1"/>
    </xf>
    <xf numFmtId="165" fontId="32" fillId="0" borderId="39" xfId="0" applyNumberFormat="1" applyFont="1" applyBorder="1" applyAlignment="1">
      <alignment horizontal="right"/>
    </xf>
    <xf numFmtId="165" fontId="33" fillId="0" borderId="40" xfId="0" applyNumberFormat="1" applyFont="1" applyBorder="1" applyAlignment="1">
      <alignment horizontal="right"/>
    </xf>
    <xf numFmtId="0" fontId="33" fillId="0" borderId="41" xfId="0" applyFont="1" applyFill="1" applyBorder="1" applyAlignment="1">
      <alignment horizontal="center" vertical="center" wrapText="1"/>
    </xf>
    <xf numFmtId="164" fontId="32" fillId="0" borderId="42" xfId="0" applyNumberFormat="1" applyFont="1" applyBorder="1" applyAlignment="1">
      <alignment horizontal="right"/>
    </xf>
    <xf numFmtId="164" fontId="32" fillId="0" borderId="34" xfId="0" applyNumberFormat="1" applyFont="1" applyBorder="1" applyAlignment="1">
      <alignment horizontal="right"/>
    </xf>
    <xf numFmtId="164" fontId="33" fillId="0" borderId="35" xfId="0" applyNumberFormat="1" applyFont="1" applyBorder="1" applyAlignment="1">
      <alignment horizontal="right"/>
    </xf>
    <xf numFmtId="165" fontId="33" fillId="0" borderId="43" xfId="0" applyNumberFormat="1" applyFont="1" applyBorder="1" applyAlignment="1">
      <alignment horizontal="center" vertical="center"/>
    </xf>
    <xf numFmtId="165" fontId="33" fillId="0" borderId="32" xfId="0" applyNumberFormat="1" applyFont="1" applyBorder="1" applyAlignment="1">
      <alignment horizontal="center" vertical="center" wrapText="1"/>
    </xf>
    <xf numFmtId="165" fontId="33" fillId="0" borderId="34" xfId="0" applyNumberFormat="1" applyFont="1" applyBorder="1" applyAlignment="1">
      <alignment horizontal="center" vertical="center"/>
    </xf>
    <xf numFmtId="165" fontId="33" fillId="0" borderId="44" xfId="0" applyNumberFormat="1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right" vertical="center" wrapText="1"/>
    </xf>
    <xf numFmtId="165" fontId="33" fillId="0" borderId="46" xfId="0" applyNumberFormat="1" applyFont="1" applyBorder="1" applyAlignment="1">
      <alignment horizontal="center" vertical="center"/>
    </xf>
    <xf numFmtId="164" fontId="33" fillId="0" borderId="47" xfId="0" applyNumberFormat="1" applyFont="1" applyBorder="1" applyAlignment="1">
      <alignment horizontal="center" vertical="center" wrapText="1"/>
    </xf>
    <xf numFmtId="0" fontId="32" fillId="0" borderId="45" xfId="0" applyFont="1" applyBorder="1" applyAlignment="1">
      <alignment horizontal="right" vertical="center"/>
    </xf>
    <xf numFmtId="0" fontId="32" fillId="0" borderId="0" xfId="0" applyNumberFormat="1" applyFont="1" applyFill="1" applyBorder="1" applyAlignment="1">
      <alignment horizontal="left" wrapText="1"/>
    </xf>
    <xf numFmtId="0" fontId="67" fillId="0" borderId="0" xfId="0" applyFont="1" applyFill="1" applyAlignment="1">
      <alignment wrapText="1"/>
    </xf>
    <xf numFmtId="0" fontId="6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4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wrapText="1"/>
    </xf>
    <xf numFmtId="0" fontId="33" fillId="0" borderId="49" xfId="0" applyFont="1" applyFill="1" applyBorder="1" applyAlignment="1">
      <alignment horizontal="center" wrapText="1"/>
    </xf>
    <xf numFmtId="0" fontId="32" fillId="0" borderId="27" xfId="0" applyFont="1" applyFill="1" applyBorder="1" applyAlignment="1">
      <alignment horizontal="left" vertical="center" wrapText="1"/>
    </xf>
    <xf numFmtId="0" fontId="33" fillId="9" borderId="27" xfId="0" applyFont="1" applyFill="1" applyBorder="1" applyAlignment="1">
      <alignment horizontal="righ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9" borderId="50" xfId="0" applyFont="1" applyFill="1" applyBorder="1" applyAlignment="1">
      <alignment horizontal="right" vertical="center" wrapText="1"/>
    </xf>
    <xf numFmtId="164" fontId="33" fillId="9" borderId="18" xfId="0" applyNumberFormat="1" applyFont="1" applyFill="1" applyBorder="1" applyAlignment="1">
      <alignment horizontal="right" vertical="center"/>
    </xf>
    <xf numFmtId="7" fontId="32" fillId="0" borderId="10" xfId="0" applyNumberFormat="1" applyFont="1" applyBorder="1" applyAlignment="1">
      <alignment horizontal="right"/>
    </xf>
    <xf numFmtId="164" fontId="32" fillId="0" borderId="10" xfId="42" applyNumberFormat="1" applyFont="1" applyBorder="1" applyAlignment="1">
      <alignment horizontal="right"/>
    </xf>
    <xf numFmtId="164" fontId="65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0" fontId="32" fillId="0" borderId="0" xfId="62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0" fontId="0" fillId="0" borderId="0" xfId="0" applyNumberFormat="1" applyFont="1" applyBorder="1" applyAlignment="1">
      <alignment/>
    </xf>
    <xf numFmtId="164" fontId="33" fillId="0" borderId="1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left"/>
    </xf>
    <xf numFmtId="0" fontId="35" fillId="0" borderId="0" xfId="0" applyFont="1" applyAlignment="1">
      <alignment/>
    </xf>
    <xf numFmtId="0" fontId="32" fillId="0" borderId="51" xfId="0" applyFont="1" applyFill="1" applyBorder="1" applyAlignment="1">
      <alignment horizontal="left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 wrapText="1"/>
    </xf>
    <xf numFmtId="0" fontId="33" fillId="5" borderId="10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/>
    </xf>
    <xf numFmtId="192" fontId="32" fillId="6" borderId="10" xfId="44" applyNumberFormat="1" applyFont="1" applyFill="1" applyBorder="1" applyAlignment="1">
      <alignment vertical="center"/>
    </xf>
    <xf numFmtId="165" fontId="32" fillId="6" borderId="10" xfId="44" applyNumberFormat="1" applyFont="1" applyFill="1" applyBorder="1" applyAlignment="1">
      <alignment vertical="center"/>
    </xf>
    <xf numFmtId="192" fontId="32" fillId="5" borderId="10" xfId="44" applyNumberFormat="1" applyFont="1" applyFill="1" applyBorder="1" applyAlignment="1">
      <alignment vertical="center"/>
    </xf>
    <xf numFmtId="165" fontId="32" fillId="5" borderId="10" xfId="44" applyNumberFormat="1" applyFont="1" applyFill="1" applyBorder="1" applyAlignment="1">
      <alignment vertical="center"/>
    </xf>
    <xf numFmtId="192" fontId="33" fillId="6" borderId="32" xfId="0" applyNumberFormat="1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192" fontId="33" fillId="5" borderId="32" xfId="0" applyNumberFormat="1" applyFont="1" applyFill="1" applyBorder="1" applyAlignment="1">
      <alignment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/>
    </xf>
    <xf numFmtId="165" fontId="32" fillId="6" borderId="10" xfId="44" applyNumberFormat="1" applyFont="1" applyFill="1" applyBorder="1" applyAlignment="1">
      <alignment/>
    </xf>
    <xf numFmtId="165" fontId="32" fillId="5" borderId="10" xfId="44" applyNumberFormat="1" applyFont="1" applyFill="1" applyBorder="1" applyAlignment="1">
      <alignment/>
    </xf>
    <xf numFmtId="165" fontId="32" fillId="0" borderId="0" xfId="44" applyNumberFormat="1" applyFont="1" applyFill="1" applyBorder="1" applyAlignment="1">
      <alignment/>
    </xf>
    <xf numFmtId="165" fontId="32" fillId="6" borderId="10" xfId="44" applyNumberFormat="1" applyFont="1" applyFill="1" applyBorder="1" applyAlignment="1">
      <alignment horizontal="right"/>
    </xf>
    <xf numFmtId="165" fontId="32" fillId="5" borderId="10" xfId="44" applyNumberFormat="1" applyFont="1" applyFill="1" applyBorder="1" applyAlignment="1">
      <alignment horizontal="right"/>
    </xf>
    <xf numFmtId="165" fontId="32" fillId="0" borderId="0" xfId="44" applyNumberFormat="1" applyFont="1" applyFill="1" applyBorder="1" applyAlignment="1">
      <alignment horizontal="right"/>
    </xf>
    <xf numFmtId="174" fontId="32" fillId="6" borderId="10" xfId="44" applyNumberFormat="1" applyFont="1" applyFill="1" applyBorder="1" applyAlignment="1">
      <alignment/>
    </xf>
    <xf numFmtId="174" fontId="32" fillId="5" borderId="10" xfId="44" applyNumberFormat="1" applyFont="1" applyFill="1" applyBorder="1" applyAlignment="1">
      <alignment/>
    </xf>
    <xf numFmtId="174" fontId="32" fillId="6" borderId="10" xfId="44" applyNumberFormat="1" applyFont="1" applyFill="1" applyBorder="1" applyAlignment="1">
      <alignment horizontal="right"/>
    </xf>
    <xf numFmtId="174" fontId="32" fillId="0" borderId="0" xfId="44" applyNumberFormat="1" applyFont="1" applyFill="1" applyBorder="1" applyAlignment="1">
      <alignment/>
    </xf>
    <xf numFmtId="192" fontId="32" fillId="0" borderId="0" xfId="44" applyNumberFormat="1" applyFont="1" applyFill="1" applyBorder="1" applyAlignment="1">
      <alignment/>
    </xf>
    <xf numFmtId="0" fontId="32" fillId="3" borderId="34" xfId="0" applyFont="1" applyFill="1" applyBorder="1" applyAlignment="1">
      <alignment horizontal="center"/>
    </xf>
    <xf numFmtId="0" fontId="33" fillId="5" borderId="34" xfId="0" applyFont="1" applyFill="1" applyBorder="1" applyAlignment="1">
      <alignment horizontal="center" vertical="center" wrapText="1"/>
    </xf>
    <xf numFmtId="165" fontId="32" fillId="6" borderId="10" xfId="47" applyNumberFormat="1" applyFont="1" applyFill="1" applyBorder="1" applyAlignment="1">
      <alignment vertical="center"/>
    </xf>
    <xf numFmtId="165" fontId="32" fillId="6" borderId="10" xfId="0" applyNumberFormat="1" applyFont="1" applyFill="1" applyBorder="1" applyAlignment="1">
      <alignment vertical="center"/>
    </xf>
    <xf numFmtId="165" fontId="32" fillId="5" borderId="10" xfId="47" applyNumberFormat="1" applyFont="1" applyFill="1" applyBorder="1" applyAlignment="1">
      <alignment vertical="center"/>
    </xf>
    <xf numFmtId="165" fontId="32" fillId="5" borderId="34" xfId="0" applyNumberFormat="1" applyFont="1" applyFill="1" applyBorder="1" applyAlignment="1">
      <alignment vertical="center"/>
    </xf>
    <xf numFmtId="0" fontId="33" fillId="0" borderId="28" xfId="0" applyFont="1" applyBorder="1" applyAlignment="1">
      <alignment horizontal="right" vertical="center"/>
    </xf>
    <xf numFmtId="192" fontId="33" fillId="6" borderId="10" xfId="0" applyNumberFormat="1" applyFont="1" applyFill="1" applyBorder="1" applyAlignment="1">
      <alignment vertical="center"/>
    </xf>
    <xf numFmtId="192" fontId="33" fillId="5" borderId="10" xfId="0" applyNumberFormat="1" applyFont="1" applyFill="1" applyBorder="1" applyAlignment="1">
      <alignment vertical="center"/>
    </xf>
    <xf numFmtId="192" fontId="33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194" fontId="32" fillId="0" borderId="0" xfId="0" applyNumberFormat="1" applyFont="1" applyFill="1" applyBorder="1" applyAlignment="1">
      <alignment horizontal="right"/>
    </xf>
    <xf numFmtId="7" fontId="32" fillId="0" borderId="0" xfId="0" applyNumberFormat="1" applyFont="1" applyFill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74" fontId="32" fillId="0" borderId="10" xfId="44" applyNumberFormat="1" applyFont="1" applyFill="1" applyBorder="1" applyAlignment="1">
      <alignment horizontal="right"/>
    </xf>
    <xf numFmtId="174" fontId="32" fillId="0" borderId="10" xfId="44" applyNumberFormat="1" applyFont="1" applyBorder="1" applyAlignment="1">
      <alignment horizontal="right"/>
    </xf>
    <xf numFmtId="174" fontId="33" fillId="0" borderId="10" xfId="0" applyNumberFormat="1" applyFont="1" applyFill="1" applyBorder="1" applyAlignment="1">
      <alignment horizontal="right"/>
    </xf>
    <xf numFmtId="174" fontId="32" fillId="0" borderId="10" xfId="0" applyNumberFormat="1" applyFont="1" applyFill="1" applyBorder="1" applyAlignment="1">
      <alignment/>
    </xf>
    <xf numFmtId="192" fontId="0" fillId="0" borderId="0" xfId="44" applyNumberFormat="1" applyFont="1" applyFill="1" applyBorder="1" applyAlignment="1">
      <alignment horizontal="right"/>
    </xf>
    <xf numFmtId="192" fontId="0" fillId="0" borderId="0" xfId="44" applyNumberFormat="1" applyFont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164" fontId="0" fillId="0" borderId="0" xfId="44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4" fontId="0" fillId="0" borderId="0" xfId="44" applyNumberFormat="1" applyFont="1" applyAlignment="1">
      <alignment/>
    </xf>
    <xf numFmtId="44" fontId="0" fillId="0" borderId="0" xfId="47" applyFont="1" applyFill="1" applyBorder="1" applyAlignment="1">
      <alignment/>
    </xf>
    <xf numFmtId="165" fontId="0" fillId="0" borderId="0" xfId="47" applyNumberFormat="1" applyFont="1" applyFill="1" applyBorder="1" applyAlignment="1">
      <alignment/>
    </xf>
    <xf numFmtId="44" fontId="3" fillId="0" borderId="0" xfId="47" applyFont="1" applyFill="1" applyBorder="1" applyAlignment="1">
      <alignment/>
    </xf>
    <xf numFmtId="164" fontId="32" fillId="0" borderId="10" xfId="44" applyNumberFormat="1" applyFont="1" applyBorder="1" applyAlignment="1">
      <alignment horizontal="right"/>
    </xf>
    <xf numFmtId="7" fontId="32" fillId="0" borderId="10" xfId="0" applyNumberFormat="1" applyFont="1" applyBorder="1" applyAlignment="1">
      <alignment/>
    </xf>
    <xf numFmtId="7" fontId="33" fillId="0" borderId="10" xfId="0" applyNumberFormat="1" applyFont="1" applyBorder="1" applyAlignment="1">
      <alignment/>
    </xf>
    <xf numFmtId="174" fontId="3" fillId="0" borderId="0" xfId="0" applyNumberFormat="1" applyFont="1" applyBorder="1" applyAlignment="1">
      <alignment horizontal="right"/>
    </xf>
    <xf numFmtId="17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44" fontId="33" fillId="0" borderId="10" xfId="47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 wrapText="1"/>
    </xf>
    <xf numFmtId="192" fontId="0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44" applyNumberFormat="1" applyFont="1" applyBorder="1" applyAlignment="1">
      <alignment horizontal="center"/>
    </xf>
    <xf numFmtId="192" fontId="0" fillId="0" borderId="0" xfId="44" applyNumberFormat="1" applyFont="1" applyBorder="1" applyAlignment="1">
      <alignment horizontal="center"/>
    </xf>
    <xf numFmtId="192" fontId="10" fillId="0" borderId="0" xfId="44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5" fontId="0" fillId="0" borderId="0" xfId="47" applyNumberFormat="1" applyFont="1" applyBorder="1" applyAlignment="1">
      <alignment horizontal="center"/>
    </xf>
    <xf numFmtId="212" fontId="0" fillId="0" borderId="0" xfId="0" applyNumberFormat="1" applyFont="1" applyBorder="1" applyAlignment="1">
      <alignment/>
    </xf>
    <xf numFmtId="211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92" fontId="0" fillId="0" borderId="0" xfId="44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5" fontId="64" fillId="0" borderId="0" xfId="0" applyNumberFormat="1" applyFont="1" applyBorder="1" applyAlignment="1">
      <alignment horizontal="left"/>
    </xf>
    <xf numFmtId="0" fontId="36" fillId="18" borderId="28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192" fontId="32" fillId="0" borderId="10" xfId="44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74" fontId="37" fillId="0" borderId="0" xfId="0" applyNumberFormat="1" applyFont="1" applyBorder="1" applyAlignment="1">
      <alignment horizontal="right"/>
    </xf>
    <xf numFmtId="165" fontId="32" fillId="0" borderId="0" xfId="0" applyNumberFormat="1" applyFont="1" applyFill="1" applyBorder="1" applyAlignment="1">
      <alignment/>
    </xf>
    <xf numFmtId="174" fontId="3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36" fillId="18" borderId="28" xfId="0" applyFont="1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93" fontId="0" fillId="0" borderId="0" xfId="0" applyNumberFormat="1" applyFont="1" applyAlignment="1">
      <alignment/>
    </xf>
    <xf numFmtId="165" fontId="32" fillId="12" borderId="10" xfId="47" applyNumberFormat="1" applyFont="1" applyFill="1" applyBorder="1" applyAlignment="1">
      <alignment horizontal="right"/>
    </xf>
    <xf numFmtId="165" fontId="32" fillId="0" borderId="10" xfId="47" applyNumberFormat="1" applyFont="1" applyFill="1" applyBorder="1" applyAlignment="1">
      <alignment horizontal="right"/>
    </xf>
    <xf numFmtId="165" fontId="32" fillId="0" borderId="10" xfId="44" applyNumberFormat="1" applyFont="1" applyBorder="1" applyAlignment="1">
      <alignment horizontal="right"/>
    </xf>
    <xf numFmtId="165" fontId="32" fillId="12" borderId="10" xfId="44" applyNumberFormat="1" applyFont="1" applyFill="1" applyBorder="1" applyAlignment="1">
      <alignment horizontal="right"/>
    </xf>
    <xf numFmtId="165" fontId="33" fillId="12" borderId="10" xfId="47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32" fillId="0" borderId="0" xfId="47" applyNumberFormat="1" applyFont="1" applyFill="1" applyBorder="1" applyAlignment="1">
      <alignment horizontal="right"/>
    </xf>
    <xf numFmtId="165" fontId="37" fillId="0" borderId="0" xfId="47" applyNumberFormat="1" applyFont="1" applyFill="1" applyBorder="1" applyAlignment="1">
      <alignment horizontal="right"/>
    </xf>
    <xf numFmtId="165" fontId="33" fillId="0" borderId="0" xfId="47" applyNumberFormat="1" applyFont="1" applyFill="1" applyBorder="1" applyAlignment="1">
      <alignment/>
    </xf>
    <xf numFmtId="188" fontId="8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36" fillId="17" borderId="10" xfId="0" applyFont="1" applyFill="1" applyBorder="1" applyAlignment="1">
      <alignment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33" fillId="0" borderId="10" xfId="0" applyNumberFormat="1" applyFont="1" applyBorder="1" applyAlignment="1">
      <alignment horizontal="center" vertical="center" wrapText="1"/>
    </xf>
    <xf numFmtId="0" fontId="33" fillId="11" borderId="10" xfId="0" applyNumberFormat="1" applyFont="1" applyFill="1" applyBorder="1" applyAlignment="1">
      <alignment horizontal="center" vertical="center" wrapText="1"/>
    </xf>
    <xf numFmtId="174" fontId="32" fillId="0" borderId="10" xfId="62" applyNumberFormat="1" applyFont="1" applyBorder="1" applyAlignment="1">
      <alignment horizontal="right" vertical="center"/>
    </xf>
    <xf numFmtId="170" fontId="32" fillId="0" borderId="10" xfId="0" applyNumberFormat="1" applyFont="1" applyFill="1" applyBorder="1" applyAlignment="1">
      <alignment/>
    </xf>
    <xf numFmtId="174" fontId="32" fillId="0" borderId="10" xfId="63" applyNumberFormat="1" applyFont="1" applyBorder="1" applyAlignment="1">
      <alignment horizontal="right" vertical="center"/>
    </xf>
    <xf numFmtId="192" fontId="32" fillId="7" borderId="10" xfId="44" applyNumberFormat="1" applyFont="1" applyFill="1" applyBorder="1" applyAlignment="1">
      <alignment/>
    </xf>
    <xf numFmtId="174" fontId="32" fillId="0" borderId="10" xfId="62" applyNumberFormat="1" applyFont="1" applyFill="1" applyBorder="1" applyAlignment="1">
      <alignment horizontal="right" vertical="center"/>
    </xf>
    <xf numFmtId="174" fontId="32" fillId="0" borderId="10" xfId="63" applyNumberFormat="1" applyFont="1" applyFill="1" applyBorder="1" applyAlignment="1">
      <alignment horizontal="right" vertical="center"/>
    </xf>
    <xf numFmtId="0" fontId="38" fillId="0" borderId="45" xfId="0" applyFont="1" applyFill="1" applyBorder="1" applyAlignment="1">
      <alignment/>
    </xf>
    <xf numFmtId="192" fontId="33" fillId="0" borderId="10" xfId="44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192" fontId="33" fillId="0" borderId="10" xfId="44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top" wrapText="1"/>
    </xf>
    <xf numFmtId="192" fontId="33" fillId="0" borderId="0" xfId="44" applyNumberFormat="1" applyFont="1" applyFill="1" applyBorder="1" applyAlignment="1">
      <alignment/>
    </xf>
    <xf numFmtId="0" fontId="33" fillId="0" borderId="0" xfId="0" applyFont="1" applyFill="1" applyAlignment="1">
      <alignment/>
    </xf>
    <xf numFmtId="192" fontId="33" fillId="0" borderId="0" xfId="44" applyNumberFormat="1" applyFont="1" applyFill="1" applyBorder="1" applyAlignment="1">
      <alignment/>
    </xf>
    <xf numFmtId="192" fontId="33" fillId="0" borderId="0" xfId="44" applyNumberFormat="1" applyFont="1" applyBorder="1" applyAlignment="1">
      <alignment horizontal="left" indent="2"/>
    </xf>
    <xf numFmtId="164" fontId="32" fillId="0" borderId="0" xfId="0" applyNumberFormat="1" applyFont="1" applyBorder="1" applyAlignment="1">
      <alignment horizontal="left" vertical="top" wrapText="1"/>
    </xf>
    <xf numFmtId="0" fontId="12" fillId="0" borderId="0" xfId="0" applyFont="1" applyAlignment="1">
      <alignment/>
    </xf>
    <xf numFmtId="192" fontId="9" fillId="0" borderId="0" xfId="0" applyNumberFormat="1" applyFont="1" applyAlignment="1">
      <alignment horizontal="left"/>
    </xf>
    <xf numFmtId="0" fontId="36" fillId="15" borderId="28" xfId="0" applyFont="1" applyFill="1" applyBorder="1" applyAlignment="1">
      <alignment/>
    </xf>
    <xf numFmtId="0" fontId="13" fillId="0" borderId="0" xfId="0" applyFont="1" applyAlignment="1">
      <alignment/>
    </xf>
    <xf numFmtId="0" fontId="33" fillId="9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/>
    </xf>
    <xf numFmtId="192" fontId="32" fillId="0" borderId="10" xfId="44" applyNumberFormat="1" applyFont="1" applyBorder="1" applyAlignment="1">
      <alignment/>
    </xf>
    <xf numFmtId="192" fontId="32" fillId="0" borderId="10" xfId="44" applyNumberFormat="1" applyFont="1" applyFill="1" applyBorder="1" applyAlignment="1">
      <alignment/>
    </xf>
    <xf numFmtId="164" fontId="32" fillId="0" borderId="10" xfId="44" applyNumberFormat="1" applyFont="1" applyBorder="1" applyAlignment="1">
      <alignment/>
    </xf>
    <xf numFmtId="174" fontId="32" fillId="9" borderId="10" xfId="0" applyNumberFormat="1" applyFont="1" applyFill="1" applyBorder="1" applyAlignment="1">
      <alignment horizontal="right"/>
    </xf>
    <xf numFmtId="167" fontId="0" fillId="0" borderId="0" xfId="0" applyNumberFormat="1" applyFont="1" applyBorder="1" applyAlignment="1">
      <alignment/>
    </xf>
    <xf numFmtId="192" fontId="32" fillId="0" borderId="10" xfId="44" applyNumberFormat="1" applyFont="1" applyBorder="1" applyAlignment="1">
      <alignment horizontal="right"/>
    </xf>
    <xf numFmtId="192" fontId="32" fillId="9" borderId="10" xfId="44" applyNumberFormat="1" applyFont="1" applyFill="1" applyBorder="1" applyAlignment="1">
      <alignment horizontal="right"/>
    </xf>
    <xf numFmtId="164" fontId="32" fillId="9" borderId="10" xfId="44" applyNumberFormat="1" applyFont="1" applyFill="1" applyBorder="1" applyAlignment="1">
      <alignment horizontal="right"/>
    </xf>
    <xf numFmtId="164" fontId="32" fillId="0" borderId="10" xfId="44" applyNumberFormat="1" applyFont="1" applyFill="1" applyBorder="1" applyAlignment="1">
      <alignment/>
    </xf>
    <xf numFmtId="192" fontId="32" fillId="0" borderId="0" xfId="44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40" fillId="0" borderId="0" xfId="0" applyFont="1" applyAlignment="1">
      <alignment/>
    </xf>
    <xf numFmtId="165" fontId="40" fillId="0" borderId="28" xfId="0" applyNumberFormat="1" applyFont="1" applyBorder="1" applyAlignment="1">
      <alignment horizontal="center" vertical="center" wrapText="1"/>
    </xf>
    <xf numFmtId="165" fontId="40" fillId="0" borderId="28" xfId="0" applyNumberFormat="1" applyFont="1" applyBorder="1" applyAlignment="1">
      <alignment horizontal="center" vertical="center"/>
    </xf>
    <xf numFmtId="165" fontId="32" fillId="0" borderId="28" xfId="0" applyNumberFormat="1" applyFont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33" fillId="12" borderId="10" xfId="0" applyNumberFormat="1" applyFont="1" applyFill="1" applyBorder="1" applyAlignment="1">
      <alignment horizontal="center" vertical="center" wrapText="1"/>
    </xf>
    <xf numFmtId="165" fontId="32" fillId="0" borderId="10" xfId="47" applyNumberFormat="1" applyFont="1" applyBorder="1" applyAlignment="1">
      <alignment horizontal="right"/>
    </xf>
    <xf numFmtId="164" fontId="33" fillId="0" borderId="10" xfId="0" applyNumberFormat="1" applyFont="1" applyBorder="1" applyAlignment="1">
      <alignment horizontal="right"/>
    </xf>
    <xf numFmtId="165" fontId="33" fillId="0" borderId="10" xfId="47" applyNumberFormat="1" applyFont="1" applyBorder="1" applyAlignment="1">
      <alignment horizontal="right"/>
    </xf>
    <xf numFmtId="44" fontId="33" fillId="0" borderId="10" xfId="47" applyFont="1" applyBorder="1" applyAlignment="1">
      <alignment horizontal="right"/>
    </xf>
    <xf numFmtId="0" fontId="38" fillId="0" borderId="0" xfId="0" applyFont="1" applyFill="1" applyBorder="1" applyAlignment="1">
      <alignment horizontal="left" vertical="center" wrapText="1"/>
    </xf>
    <xf numFmtId="0" fontId="32" fillId="0" borderId="25" xfId="0" applyFont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center" vertical="center" wrapText="1"/>
    </xf>
    <xf numFmtId="7" fontId="32" fillId="0" borderId="10" xfId="0" applyNumberFormat="1" applyFont="1" applyFill="1" applyBorder="1" applyAlignment="1">
      <alignment horizontal="right" vertical="center"/>
    </xf>
    <xf numFmtId="165" fontId="32" fillId="0" borderId="10" xfId="47" applyNumberFormat="1" applyFont="1" applyFill="1" applyBorder="1" applyAlignment="1">
      <alignment horizontal="right" vertical="center"/>
    </xf>
    <xf numFmtId="165" fontId="32" fillId="0" borderId="10" xfId="0" applyNumberFormat="1" applyFont="1" applyBorder="1" applyAlignment="1">
      <alignment horizontal="right" vertical="center"/>
    </xf>
    <xf numFmtId="174" fontId="64" fillId="0" borderId="0" xfId="0" applyNumberFormat="1" applyFont="1" applyFill="1" applyBorder="1" applyAlignment="1">
      <alignment horizontal="right"/>
    </xf>
    <xf numFmtId="0" fontId="36" fillId="1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6" fontId="32" fillId="0" borderId="10" xfId="63" applyNumberFormat="1" applyFont="1" applyFill="1" applyBorder="1" applyAlignment="1">
      <alignment horizontal="right"/>
    </xf>
    <xf numFmtId="10" fontId="32" fillId="0" borderId="10" xfId="63" applyNumberFormat="1" applyFont="1" applyFill="1" applyBorder="1" applyAlignment="1">
      <alignment horizontal="right"/>
    </xf>
    <xf numFmtId="173" fontId="32" fillId="0" borderId="10" xfId="63" applyNumberFormat="1" applyFont="1" applyFill="1" applyBorder="1" applyAlignment="1">
      <alignment horizontal="right"/>
    </xf>
    <xf numFmtId="170" fontId="32" fillId="0" borderId="10" xfId="63" applyNumberFormat="1" applyFont="1" applyBorder="1" applyAlignment="1">
      <alignment horizontal="right"/>
    </xf>
    <xf numFmtId="0" fontId="32" fillId="0" borderId="14" xfId="59" applyFont="1" applyFill="1" applyBorder="1" applyAlignment="1">
      <alignment horizontal="left"/>
      <protection/>
    </xf>
    <xf numFmtId="0" fontId="32" fillId="0" borderId="11" xfId="59" applyFont="1" applyFill="1" applyBorder="1" applyAlignment="1">
      <alignment horizontal="left"/>
      <protection/>
    </xf>
    <xf numFmtId="0" fontId="32" fillId="0" borderId="18" xfId="59" applyFont="1" applyFill="1" applyBorder="1" applyAlignment="1">
      <alignment horizontal="left"/>
      <protection/>
    </xf>
    <xf numFmtId="10" fontId="32" fillId="0" borderId="15" xfId="64" applyNumberFormat="1" applyFont="1" applyFill="1" applyBorder="1" applyAlignment="1">
      <alignment horizontal="right"/>
    </xf>
    <xf numFmtId="10" fontId="32" fillId="0" borderId="10" xfId="64" applyNumberFormat="1" applyFont="1" applyFill="1" applyBorder="1" applyAlignment="1">
      <alignment horizontal="right"/>
    </xf>
    <xf numFmtId="10" fontId="32" fillId="0" borderId="17" xfId="64" applyNumberFormat="1" applyFont="1" applyFill="1" applyBorder="1" applyAlignment="1">
      <alignment horizontal="right"/>
    </xf>
    <xf numFmtId="10" fontId="32" fillId="0" borderId="15" xfId="63" applyNumberFormat="1" applyFont="1" applyFill="1" applyBorder="1" applyAlignment="1">
      <alignment horizontal="right"/>
    </xf>
    <xf numFmtId="10" fontId="32" fillId="0" borderId="17" xfId="63" applyNumberFormat="1" applyFont="1" applyFill="1" applyBorder="1" applyAlignment="1">
      <alignment horizontal="right"/>
    </xf>
    <xf numFmtId="10" fontId="32" fillId="0" borderId="53" xfId="0" applyNumberFormat="1" applyFont="1" applyFill="1" applyBorder="1" applyAlignment="1">
      <alignment horizontal="right" vertical="center"/>
    </xf>
    <xf numFmtId="10" fontId="32" fillId="0" borderId="51" xfId="0" applyNumberFormat="1" applyFont="1" applyFill="1" applyBorder="1" applyAlignment="1">
      <alignment horizontal="right" vertical="center"/>
    </xf>
    <xf numFmtId="10" fontId="32" fillId="0" borderId="54" xfId="63" applyNumberFormat="1" applyFont="1" applyFill="1" applyBorder="1" applyAlignment="1">
      <alignment horizontal="right"/>
    </xf>
    <xf numFmtId="10" fontId="33" fillId="0" borderId="23" xfId="0" applyNumberFormat="1" applyFont="1" applyBorder="1" applyAlignment="1">
      <alignment horizontal="right"/>
    </xf>
    <xf numFmtId="0" fontId="32" fillId="0" borderId="21" xfId="0" applyFont="1" applyBorder="1" applyAlignment="1">
      <alignment horizontal="center"/>
    </xf>
    <xf numFmtId="10" fontId="33" fillId="0" borderId="22" xfId="0" applyNumberFormat="1" applyFont="1" applyBorder="1" applyAlignment="1">
      <alignment horizontal="right"/>
    </xf>
    <xf numFmtId="164" fontId="32" fillId="0" borderId="28" xfId="0" applyNumberFormat="1" applyFont="1" applyBorder="1" applyAlignment="1">
      <alignment horizontal="right"/>
    </xf>
    <xf numFmtId="165" fontId="32" fillId="0" borderId="20" xfId="0" applyNumberFormat="1" applyFont="1" applyBorder="1" applyAlignment="1">
      <alignment horizontal="right"/>
    </xf>
    <xf numFmtId="164" fontId="32" fillId="0" borderId="55" xfId="0" applyNumberFormat="1" applyFont="1" applyBorder="1" applyAlignment="1">
      <alignment horizontal="right"/>
    </xf>
    <xf numFmtId="165" fontId="32" fillId="0" borderId="56" xfId="0" applyNumberFormat="1" applyFont="1" applyBorder="1" applyAlignment="1">
      <alignment horizontal="right"/>
    </xf>
    <xf numFmtId="165" fontId="32" fillId="0" borderId="55" xfId="0" applyNumberFormat="1" applyFont="1" applyBorder="1" applyAlignment="1">
      <alignment/>
    </xf>
    <xf numFmtId="164" fontId="32" fillId="0" borderId="57" xfId="0" applyNumberFormat="1" applyFont="1" applyBorder="1" applyAlignment="1">
      <alignment horizontal="right"/>
    </xf>
    <xf numFmtId="164" fontId="32" fillId="0" borderId="51" xfId="0" applyNumberFormat="1" applyFont="1" applyBorder="1" applyAlignment="1">
      <alignment horizontal="right"/>
    </xf>
    <xf numFmtId="164" fontId="33" fillId="0" borderId="23" xfId="0" applyNumberFormat="1" applyFont="1" applyBorder="1" applyAlignment="1">
      <alignment horizontal="right"/>
    </xf>
    <xf numFmtId="165" fontId="33" fillId="0" borderId="22" xfId="0" applyNumberFormat="1" applyFont="1" applyBorder="1" applyAlignment="1">
      <alignment horizontal="right"/>
    </xf>
    <xf numFmtId="164" fontId="33" fillId="0" borderId="58" xfId="0" applyNumberFormat="1" applyFont="1" applyBorder="1" applyAlignment="1">
      <alignment horizontal="right"/>
    </xf>
    <xf numFmtId="165" fontId="33" fillId="0" borderId="44" xfId="0" applyNumberFormat="1" applyFont="1" applyBorder="1" applyAlignment="1">
      <alignment horizontal="right"/>
    </xf>
    <xf numFmtId="165" fontId="33" fillId="0" borderId="58" xfId="0" applyNumberFormat="1" applyFont="1" applyBorder="1" applyAlignment="1">
      <alignment horizontal="right"/>
    </xf>
    <xf numFmtId="164" fontId="33" fillId="0" borderId="59" xfId="0" applyNumberFormat="1" applyFont="1" applyBorder="1" applyAlignment="1">
      <alignment horizontal="right"/>
    </xf>
    <xf numFmtId="0" fontId="32" fillId="0" borderId="21" xfId="0" applyFont="1" applyFill="1" applyBorder="1" applyAlignment="1">
      <alignment/>
    </xf>
    <xf numFmtId="165" fontId="33" fillId="0" borderId="23" xfId="0" applyNumberFormat="1" applyFont="1" applyBorder="1" applyAlignment="1">
      <alignment/>
    </xf>
    <xf numFmtId="165" fontId="33" fillId="0" borderId="22" xfId="0" applyNumberFormat="1" applyFont="1" applyBorder="1" applyAlignment="1">
      <alignment/>
    </xf>
    <xf numFmtId="14" fontId="36" fillId="0" borderId="0" xfId="0" applyNumberFormat="1" applyFont="1" applyBorder="1" applyAlignment="1">
      <alignment vertical="center"/>
    </xf>
    <xf numFmtId="0" fontId="33" fillId="3" borderId="1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2" fillId="0" borderId="25" xfId="0" applyFont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center" vertical="center" wrapText="1"/>
    </xf>
    <xf numFmtId="192" fontId="32" fillId="0" borderId="10" xfId="44" applyNumberFormat="1" applyFont="1" applyFill="1" applyBorder="1" applyAlignment="1">
      <alignment/>
    </xf>
    <xf numFmtId="10" fontId="32" fillId="0" borderId="10" xfId="0" applyNumberFormat="1" applyFont="1" applyFill="1" applyBorder="1" applyAlignment="1">
      <alignment horizontal="right" vertical="center"/>
    </xf>
    <xf numFmtId="0" fontId="32" fillId="0" borderId="24" xfId="0" applyFont="1" applyBorder="1" applyAlignment="1">
      <alignment horizontal="center"/>
    </xf>
    <xf numFmtId="164" fontId="67" fillId="0" borderId="30" xfId="0" applyNumberFormat="1" applyFont="1" applyFill="1" applyBorder="1" applyAlignment="1">
      <alignment horizontal="right" vertical="center"/>
    </xf>
    <xf numFmtId="2" fontId="32" fillId="0" borderId="0" xfId="0" applyNumberFormat="1" applyFont="1" applyBorder="1" applyAlignment="1">
      <alignment horizontal="right"/>
    </xf>
    <xf numFmtId="0" fontId="33" fillId="0" borderId="0" xfId="0" applyNumberFormat="1" applyFont="1" applyFill="1" applyBorder="1" applyAlignment="1">
      <alignment horizontal="center"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164" fontId="33" fillId="0" borderId="0" xfId="0" applyNumberFormat="1" applyFont="1" applyBorder="1" applyAlignment="1">
      <alignment horizontal="center" vertical="center" wrapText="1"/>
    </xf>
    <xf numFmtId="0" fontId="32" fillId="0" borderId="0" xfId="59" applyFont="1" applyFill="1" applyBorder="1" applyAlignment="1">
      <alignment horizontal="left"/>
      <protection/>
    </xf>
    <xf numFmtId="10" fontId="32" fillId="0" borderId="0" xfId="0" applyNumberFormat="1" applyFont="1" applyFill="1" applyBorder="1" applyAlignment="1">
      <alignment horizontal="right" vertical="center"/>
    </xf>
    <xf numFmtId="10" fontId="32" fillId="0" borderId="0" xfId="64" applyNumberFormat="1" applyFont="1" applyFill="1" applyBorder="1" applyAlignment="1">
      <alignment horizontal="right"/>
    </xf>
    <xf numFmtId="10" fontId="32" fillId="0" borderId="0" xfId="63" applyNumberFormat="1" applyFont="1" applyFill="1" applyBorder="1" applyAlignment="1">
      <alignment horizontal="right"/>
    </xf>
    <xf numFmtId="0" fontId="32" fillId="0" borderId="0" xfId="0" applyFont="1" applyBorder="1" applyAlignment="1">
      <alignment horizontal="center"/>
    </xf>
    <xf numFmtId="0" fontId="33" fillId="0" borderId="24" xfId="0" applyFont="1" applyFill="1" applyBorder="1" applyAlignment="1">
      <alignment horizontal="center" vertical="center" wrapText="1"/>
    </xf>
    <xf numFmtId="164" fontId="33" fillId="0" borderId="24" xfId="0" applyNumberFormat="1" applyFont="1" applyFill="1" applyBorder="1" applyAlignment="1">
      <alignment horizontal="center" vertical="center" wrapText="1"/>
    </xf>
    <xf numFmtId="164" fontId="33" fillId="0" borderId="24" xfId="0" applyNumberFormat="1" applyFont="1" applyBorder="1" applyAlignment="1">
      <alignment horizontal="center" vertical="center" wrapText="1"/>
    </xf>
    <xf numFmtId="10" fontId="33" fillId="0" borderId="24" xfId="0" applyNumberFormat="1" applyFont="1" applyBorder="1" applyAlignment="1">
      <alignment horizontal="right"/>
    </xf>
    <xf numFmtId="0" fontId="33" fillId="0" borderId="24" xfId="0" applyNumberFormat="1" applyFont="1" applyFill="1" applyBorder="1" applyAlignment="1">
      <alignment horizontal="center" vertical="center" wrapText="1"/>
    </xf>
    <xf numFmtId="10" fontId="32" fillId="0" borderId="15" xfId="0" applyNumberFormat="1" applyFont="1" applyFill="1" applyBorder="1" applyAlignment="1">
      <alignment horizontal="right" vertical="center"/>
    </xf>
    <xf numFmtId="10" fontId="32" fillId="0" borderId="16" xfId="64" applyNumberFormat="1" applyFont="1" applyFill="1" applyBorder="1" applyAlignment="1">
      <alignment horizontal="right"/>
    </xf>
    <xf numFmtId="10" fontId="32" fillId="0" borderId="12" xfId="64" applyNumberFormat="1" applyFont="1" applyFill="1" applyBorder="1" applyAlignment="1">
      <alignment horizontal="right"/>
    </xf>
    <xf numFmtId="10" fontId="32" fillId="0" borderId="13" xfId="64" applyNumberFormat="1" applyFont="1" applyFill="1" applyBorder="1" applyAlignment="1">
      <alignment horizontal="right"/>
    </xf>
    <xf numFmtId="0" fontId="33" fillId="4" borderId="10" xfId="0" applyFont="1" applyFill="1" applyBorder="1" applyAlignment="1">
      <alignment horizontal="center" vertical="center" wrapText="1"/>
    </xf>
    <xf numFmtId="192" fontId="32" fillId="4" borderId="10" xfId="44" applyNumberFormat="1" applyFont="1" applyFill="1" applyBorder="1" applyAlignment="1">
      <alignment vertical="center"/>
    </xf>
    <xf numFmtId="165" fontId="32" fillId="4" borderId="10" xfId="44" applyNumberFormat="1" applyFont="1" applyFill="1" applyBorder="1" applyAlignment="1">
      <alignment vertical="center"/>
    </xf>
    <xf numFmtId="192" fontId="33" fillId="4" borderId="32" xfId="0" applyNumberFormat="1" applyFont="1" applyFill="1" applyBorder="1" applyAlignment="1">
      <alignment vertical="center"/>
    </xf>
    <xf numFmtId="165" fontId="32" fillId="4" borderId="10" xfId="44" applyNumberFormat="1" applyFont="1" applyFill="1" applyBorder="1" applyAlignment="1">
      <alignment/>
    </xf>
    <xf numFmtId="165" fontId="32" fillId="4" borderId="10" xfId="44" applyNumberFormat="1" applyFont="1" applyFill="1" applyBorder="1" applyAlignment="1">
      <alignment horizontal="right"/>
    </xf>
    <xf numFmtId="174" fontId="32" fillId="4" borderId="10" xfId="44" applyNumberFormat="1" applyFont="1" applyFill="1" applyBorder="1" applyAlignment="1">
      <alignment/>
    </xf>
    <xf numFmtId="0" fontId="33" fillId="4" borderId="34" xfId="0" applyFont="1" applyFill="1" applyBorder="1" applyAlignment="1">
      <alignment horizontal="center" vertical="center" wrapText="1"/>
    </xf>
    <xf numFmtId="165" fontId="32" fillId="4" borderId="10" xfId="47" applyNumberFormat="1" applyFont="1" applyFill="1" applyBorder="1" applyAlignment="1">
      <alignment vertical="center"/>
    </xf>
    <xf numFmtId="165" fontId="32" fillId="4" borderId="34" xfId="0" applyNumberFormat="1" applyFont="1" applyFill="1" applyBorder="1" applyAlignment="1">
      <alignment vertical="center"/>
    </xf>
    <xf numFmtId="192" fontId="33" fillId="4" borderId="10" xfId="0" applyNumberFormat="1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horizontal="right" vertical="center"/>
    </xf>
    <xf numFmtId="7" fontId="32" fillId="12" borderId="10" xfId="0" applyNumberFormat="1" applyFont="1" applyFill="1" applyBorder="1" applyAlignment="1">
      <alignment/>
    </xf>
    <xf numFmtId="7" fontId="32" fillId="0" borderId="10" xfId="0" applyNumberFormat="1" applyFont="1" applyFill="1" applyBorder="1" applyAlignment="1">
      <alignment/>
    </xf>
    <xf numFmtId="165" fontId="32" fillId="0" borderId="10" xfId="0" applyNumberFormat="1" applyFont="1" applyFill="1" applyBorder="1" applyAlignment="1">
      <alignment/>
    </xf>
    <xf numFmtId="165" fontId="32" fillId="12" borderId="10" xfId="0" applyNumberFormat="1" applyFont="1" applyFill="1" applyBorder="1" applyAlignment="1">
      <alignment/>
    </xf>
    <xf numFmtId="165" fontId="33" fillId="12" borderId="10" xfId="0" applyNumberFormat="1" applyFont="1" applyFill="1" applyBorder="1" applyAlignment="1">
      <alignment/>
    </xf>
    <xf numFmtId="174" fontId="32" fillId="0" borderId="10" xfId="0" applyNumberFormat="1" applyFont="1" applyFill="1" applyBorder="1" applyAlignment="1">
      <alignment/>
    </xf>
    <xf numFmtId="165" fontId="32" fillId="0" borderId="10" xfId="0" applyNumberFormat="1" applyFont="1" applyBorder="1" applyAlignment="1">
      <alignment/>
    </xf>
    <xf numFmtId="7" fontId="32" fillId="0" borderId="10" xfId="0" applyNumberFormat="1" applyFont="1" applyFill="1" applyBorder="1" applyAlignment="1">
      <alignment vertical="center"/>
    </xf>
    <xf numFmtId="0" fontId="32" fillId="0" borderId="10" xfId="0" applyFont="1" applyBorder="1" applyAlignment="1">
      <alignment/>
    </xf>
    <xf numFmtId="165" fontId="32" fillId="12" borderId="10" xfId="47" applyNumberFormat="1" applyFont="1" applyFill="1" applyBorder="1" applyAlignment="1">
      <alignment/>
    </xf>
    <xf numFmtId="165" fontId="32" fillId="0" borderId="10" xfId="47" applyNumberFormat="1" applyFont="1" applyFill="1" applyBorder="1" applyAlignment="1">
      <alignment/>
    </xf>
    <xf numFmtId="165" fontId="32" fillId="0" borderId="10" xfId="47" applyNumberFormat="1" applyFont="1" applyFill="1" applyBorder="1" applyAlignment="1">
      <alignment vertical="center"/>
    </xf>
    <xf numFmtId="165" fontId="32" fillId="0" borderId="10" xfId="44" applyNumberFormat="1" applyFont="1" applyBorder="1" applyAlignment="1">
      <alignment/>
    </xf>
    <xf numFmtId="165" fontId="32" fillId="12" borderId="10" xfId="44" applyNumberFormat="1" applyFont="1" applyFill="1" applyBorder="1" applyAlignment="1">
      <alignment/>
    </xf>
    <xf numFmtId="165" fontId="33" fillId="12" borderId="10" xfId="47" applyNumberFormat="1" applyFont="1" applyFill="1" applyBorder="1" applyAlignment="1">
      <alignment/>
    </xf>
    <xf numFmtId="165" fontId="32" fillId="0" borderId="10" xfId="0" applyNumberFormat="1" applyFont="1" applyBorder="1" applyAlignment="1">
      <alignment vertical="center"/>
    </xf>
    <xf numFmtId="165" fontId="32" fillId="0" borderId="10" xfId="0" applyNumberFormat="1" applyFont="1" applyBorder="1" applyAlignment="1">
      <alignment wrapText="1"/>
    </xf>
    <xf numFmtId="174" fontId="32" fillId="0" borderId="10" xfId="0" applyNumberFormat="1" applyFont="1" applyBorder="1" applyAlignment="1">
      <alignment/>
    </xf>
    <xf numFmtId="192" fontId="32" fillId="0" borderId="10" xfId="44" applyNumberFormat="1" applyFont="1" applyBorder="1" applyAlignment="1">
      <alignment/>
    </xf>
    <xf numFmtId="164" fontId="32" fillId="0" borderId="10" xfId="44" applyNumberFormat="1" applyFont="1" applyBorder="1" applyAlignment="1">
      <alignment/>
    </xf>
    <xf numFmtId="0" fontId="33" fillId="3" borderId="10" xfId="0" applyNumberFormat="1" applyFont="1" applyFill="1" applyBorder="1" applyAlignment="1">
      <alignment horizontal="center" vertical="center" wrapText="1"/>
    </xf>
    <xf numFmtId="0" fontId="33" fillId="6" borderId="34" xfId="0" applyFont="1" applyFill="1" applyBorder="1" applyAlignment="1">
      <alignment horizontal="center" vertical="center"/>
    </xf>
    <xf numFmtId="0" fontId="33" fillId="6" borderId="42" xfId="0" applyFont="1" applyFill="1" applyBorder="1" applyAlignment="1">
      <alignment horizontal="center" vertical="center"/>
    </xf>
    <xf numFmtId="0" fontId="33" fillId="6" borderId="36" xfId="0" applyFont="1" applyFill="1" applyBorder="1" applyAlignment="1">
      <alignment horizontal="center" vertical="center"/>
    </xf>
    <xf numFmtId="0" fontId="33" fillId="5" borderId="34" xfId="0" applyFont="1" applyFill="1" applyBorder="1" applyAlignment="1">
      <alignment horizontal="center" vertical="center"/>
    </xf>
    <xf numFmtId="0" fontId="33" fillId="5" borderId="42" xfId="0" applyFont="1" applyFill="1" applyBorder="1" applyAlignment="1">
      <alignment horizontal="center" vertical="center"/>
    </xf>
    <xf numFmtId="0" fontId="33" fillId="5" borderId="36" xfId="0" applyFont="1" applyFill="1" applyBorder="1" applyAlignment="1">
      <alignment horizontal="center" vertical="center"/>
    </xf>
    <xf numFmtId="0" fontId="33" fillId="4" borderId="34" xfId="0" applyFont="1" applyFill="1" applyBorder="1" applyAlignment="1">
      <alignment horizontal="center" vertical="center"/>
    </xf>
    <xf numFmtId="0" fontId="33" fillId="4" borderId="42" xfId="0" applyFont="1" applyFill="1" applyBorder="1" applyAlignment="1">
      <alignment horizontal="center" vertical="center"/>
    </xf>
    <xf numFmtId="0" fontId="33" fillId="4" borderId="36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 wrapText="1"/>
    </xf>
    <xf numFmtId="192" fontId="33" fillId="4" borderId="10" xfId="44" applyNumberFormat="1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 vertical="center"/>
    </xf>
    <xf numFmtId="192" fontId="33" fillId="4" borderId="10" xfId="44" applyNumberFormat="1" applyFont="1" applyFill="1" applyBorder="1" applyAlignment="1">
      <alignment horizontal="center" vertical="center"/>
    </xf>
    <xf numFmtId="192" fontId="33" fillId="6" borderId="10" xfId="44" applyNumberFormat="1" applyFont="1" applyFill="1" applyBorder="1" applyAlignment="1">
      <alignment horizontal="center" vertical="center" wrapText="1"/>
    </xf>
    <xf numFmtId="192" fontId="33" fillId="5" borderId="10" xfId="44" applyNumberFormat="1" applyFont="1" applyFill="1" applyBorder="1" applyAlignment="1">
      <alignment horizontal="center"/>
    </xf>
    <xf numFmtId="192" fontId="33" fillId="5" borderId="10" xfId="44" applyNumberFormat="1" applyFont="1" applyFill="1" applyBorder="1" applyAlignment="1">
      <alignment horizontal="center" vertical="center"/>
    </xf>
    <xf numFmtId="0" fontId="33" fillId="5" borderId="10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/>
    </xf>
    <xf numFmtId="0" fontId="33" fillId="3" borderId="28" xfId="0" applyFont="1" applyFill="1" applyBorder="1" applyAlignment="1">
      <alignment horizontal="center" vertical="center" wrapText="1"/>
    </xf>
    <xf numFmtId="0" fontId="33" fillId="3" borderId="52" xfId="0" applyFont="1" applyFill="1" applyBorder="1" applyAlignment="1">
      <alignment horizontal="center" vertical="center" wrapText="1"/>
    </xf>
    <xf numFmtId="0" fontId="33" fillId="3" borderId="32" xfId="0" applyFont="1" applyFill="1" applyBorder="1" applyAlignment="1">
      <alignment horizontal="center" vertical="center" wrapText="1"/>
    </xf>
    <xf numFmtId="192" fontId="33" fillId="6" borderId="10" xfId="44" applyNumberFormat="1" applyFont="1" applyFill="1" applyBorder="1" applyAlignment="1">
      <alignment horizontal="center" vertical="center"/>
    </xf>
    <xf numFmtId="192" fontId="33" fillId="6" borderId="10" xfId="44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left" vertical="center" wrapText="1"/>
    </xf>
    <xf numFmtId="0" fontId="36" fillId="15" borderId="28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/>
    </xf>
    <xf numFmtId="0" fontId="36" fillId="17" borderId="34" xfId="0" applyFont="1" applyFill="1" applyBorder="1" applyAlignment="1">
      <alignment horizontal="center"/>
    </xf>
    <xf numFmtId="0" fontId="36" fillId="17" borderId="36" xfId="0" applyFont="1" applyFill="1" applyBorder="1" applyAlignment="1">
      <alignment horizontal="center"/>
    </xf>
    <xf numFmtId="0" fontId="36" fillId="16" borderId="34" xfId="0" applyFont="1" applyFill="1" applyBorder="1" applyAlignment="1">
      <alignment horizontal="center"/>
    </xf>
    <xf numFmtId="0" fontId="36" fillId="16" borderId="36" xfId="0" applyFont="1" applyFill="1" applyBorder="1" applyAlignment="1">
      <alignment horizontal="center"/>
    </xf>
    <xf numFmtId="0" fontId="36" fillId="19" borderId="10" xfId="0" applyFont="1" applyFill="1" applyBorder="1" applyAlignment="1">
      <alignment horizontal="center"/>
    </xf>
    <xf numFmtId="0" fontId="32" fillId="0" borderId="51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/>
    </xf>
    <xf numFmtId="0" fontId="36" fillId="18" borderId="60" xfId="0" applyFont="1" applyFill="1" applyBorder="1" applyAlignment="1">
      <alignment horizontal="center" vertical="center" wrapText="1"/>
    </xf>
    <xf numFmtId="0" fontId="36" fillId="18" borderId="53" xfId="0" applyFont="1" applyFill="1" applyBorder="1" applyAlignment="1">
      <alignment horizontal="center" vertical="center" wrapText="1"/>
    </xf>
    <xf numFmtId="0" fontId="36" fillId="18" borderId="61" xfId="0" applyFont="1" applyFill="1" applyBorder="1" applyAlignment="1">
      <alignment horizontal="center" vertical="center" wrapText="1"/>
    </xf>
    <xf numFmtId="0" fontId="36" fillId="18" borderId="45" xfId="0" applyFont="1" applyFill="1" applyBorder="1" applyAlignment="1">
      <alignment horizontal="center" vertical="center" wrapText="1"/>
    </xf>
    <xf numFmtId="0" fontId="36" fillId="18" borderId="0" xfId="0" applyFont="1" applyFill="1" applyBorder="1" applyAlignment="1">
      <alignment horizontal="center" vertical="center" wrapText="1"/>
    </xf>
    <xf numFmtId="0" fontId="36" fillId="18" borderId="62" xfId="0" applyFont="1" applyFill="1" applyBorder="1" applyAlignment="1">
      <alignment horizontal="center" vertical="center" wrapText="1"/>
    </xf>
    <xf numFmtId="0" fontId="36" fillId="18" borderId="63" xfId="0" applyFont="1" applyFill="1" applyBorder="1" applyAlignment="1">
      <alignment horizontal="center" vertical="center" wrapText="1"/>
    </xf>
    <xf numFmtId="0" fontId="36" fillId="18" borderId="64" xfId="0" applyFont="1" applyFill="1" applyBorder="1" applyAlignment="1">
      <alignment horizontal="center" vertical="center" wrapText="1"/>
    </xf>
    <xf numFmtId="0" fontId="36" fillId="18" borderId="65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right"/>
    </xf>
    <xf numFmtId="0" fontId="33" fillId="0" borderId="66" xfId="0" applyFont="1" applyFill="1" applyBorder="1" applyAlignment="1">
      <alignment horizontal="right"/>
    </xf>
    <xf numFmtId="0" fontId="33" fillId="0" borderId="44" xfId="0" applyFont="1" applyFill="1" applyBorder="1" applyAlignment="1">
      <alignment horizontal="right"/>
    </xf>
    <xf numFmtId="0" fontId="33" fillId="0" borderId="14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8" fillId="0" borderId="67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6" fillId="15" borderId="29" xfId="0" applyFont="1" applyFill="1" applyBorder="1" applyAlignment="1">
      <alignment horizontal="center" vertical="center" wrapText="1"/>
    </xf>
    <xf numFmtId="0" fontId="45" fillId="15" borderId="68" xfId="0" applyFont="1" applyFill="1" applyBorder="1" applyAlignment="1">
      <alignment/>
    </xf>
    <xf numFmtId="165" fontId="33" fillId="0" borderId="25" xfId="0" applyNumberFormat="1" applyFont="1" applyBorder="1" applyAlignment="1">
      <alignment horizontal="center" vertical="center" wrapText="1"/>
    </xf>
    <xf numFmtId="165" fontId="33" fillId="0" borderId="66" xfId="0" applyNumberFormat="1" applyFont="1" applyBorder="1" applyAlignment="1">
      <alignment horizontal="center" vertical="center" wrapText="1"/>
    </xf>
    <xf numFmtId="165" fontId="33" fillId="0" borderId="44" xfId="0" applyNumberFormat="1" applyFont="1" applyBorder="1" applyAlignment="1">
      <alignment horizontal="center" vertical="center" wrapText="1"/>
    </xf>
    <xf numFmtId="0" fontId="32" fillId="0" borderId="25" xfId="0" applyFont="1" applyBorder="1" applyAlignment="1">
      <alignment horizontal="right" vertical="center"/>
    </xf>
    <xf numFmtId="0" fontId="32" fillId="0" borderId="66" xfId="0" applyFont="1" applyBorder="1" applyAlignment="1">
      <alignment horizontal="right" vertical="center"/>
    </xf>
    <xf numFmtId="0" fontId="32" fillId="0" borderId="59" xfId="0" applyFont="1" applyBorder="1" applyAlignment="1">
      <alignment horizontal="right" vertical="center"/>
    </xf>
    <xf numFmtId="0" fontId="36" fillId="17" borderId="29" xfId="0" applyFont="1" applyFill="1" applyBorder="1" applyAlignment="1">
      <alignment horizontal="center" vertical="center" wrapText="1"/>
    </xf>
    <xf numFmtId="0" fontId="36" fillId="17" borderId="45" xfId="0" applyFont="1" applyFill="1" applyBorder="1" applyAlignment="1">
      <alignment horizontal="center" vertical="center" wrapText="1"/>
    </xf>
    <xf numFmtId="0" fontId="36" fillId="17" borderId="63" xfId="0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right" vertical="center" wrapText="1"/>
    </xf>
    <xf numFmtId="0" fontId="32" fillId="0" borderId="66" xfId="0" applyFont="1" applyBorder="1" applyAlignment="1">
      <alignment horizontal="right" vertical="center" wrapText="1"/>
    </xf>
    <xf numFmtId="0" fontId="32" fillId="0" borderId="59" xfId="0" applyFont="1" applyBorder="1" applyAlignment="1">
      <alignment horizontal="right" vertical="center" wrapText="1"/>
    </xf>
    <xf numFmtId="0" fontId="38" fillId="0" borderId="55" xfId="0" applyFont="1" applyFill="1" applyBorder="1" applyAlignment="1">
      <alignment horizontal="left" vertical="center" wrapText="1"/>
    </xf>
    <xf numFmtId="0" fontId="38" fillId="0" borderId="5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5" fontId="33" fillId="0" borderId="25" xfId="0" applyNumberFormat="1" applyFont="1" applyBorder="1" applyAlignment="1">
      <alignment horizontal="center" vertical="top" wrapText="1"/>
    </xf>
    <xf numFmtId="165" fontId="33" fillId="0" borderId="44" xfId="0" applyNumberFormat="1" applyFont="1" applyBorder="1" applyAlignment="1">
      <alignment horizontal="center" vertical="top" wrapText="1"/>
    </xf>
    <xf numFmtId="0" fontId="32" fillId="0" borderId="63" xfId="0" applyFont="1" applyBorder="1" applyAlignment="1">
      <alignment horizontal="right" vertical="center"/>
    </xf>
    <xf numFmtId="0" fontId="32" fillId="0" borderId="64" xfId="0" applyFont="1" applyBorder="1" applyAlignment="1">
      <alignment horizontal="right" vertical="center"/>
    </xf>
    <xf numFmtId="0" fontId="32" fillId="0" borderId="69" xfId="0" applyFont="1" applyBorder="1" applyAlignment="1">
      <alignment horizontal="right" vertical="center"/>
    </xf>
    <xf numFmtId="165" fontId="33" fillId="0" borderId="60" xfId="0" applyNumberFormat="1" applyFont="1" applyBorder="1" applyAlignment="1">
      <alignment horizontal="center" vertical="center" wrapText="1"/>
    </xf>
    <xf numFmtId="165" fontId="33" fillId="0" borderId="53" xfId="0" applyNumberFormat="1" applyFont="1" applyBorder="1" applyAlignment="1">
      <alignment horizontal="center" vertical="center" wrapText="1"/>
    </xf>
    <xf numFmtId="165" fontId="33" fillId="0" borderId="61" xfId="0" applyNumberFormat="1" applyFont="1" applyBorder="1" applyAlignment="1">
      <alignment horizontal="center" vertical="center" wrapText="1"/>
    </xf>
    <xf numFmtId="0" fontId="32" fillId="0" borderId="21" xfId="0" applyFont="1" applyBorder="1" applyAlignment="1">
      <alignment horizontal="right" vertical="center" wrapText="1"/>
    </xf>
    <xf numFmtId="0" fontId="32" fillId="0" borderId="23" xfId="0" applyFont="1" applyBorder="1" applyAlignment="1">
      <alignment horizontal="right" vertical="center" wrapText="1"/>
    </xf>
    <xf numFmtId="0" fontId="32" fillId="0" borderId="21" xfId="0" applyFont="1" applyBorder="1" applyAlignment="1">
      <alignment horizontal="right" vertical="center"/>
    </xf>
    <xf numFmtId="0" fontId="32" fillId="0" borderId="23" xfId="0" applyFont="1" applyBorder="1" applyAlignment="1">
      <alignment horizontal="right" vertical="center"/>
    </xf>
    <xf numFmtId="164" fontId="33" fillId="0" borderId="10" xfId="0" applyNumberFormat="1" applyFont="1" applyBorder="1" applyAlignment="1">
      <alignment horizontal="center"/>
    </xf>
    <xf numFmtId="0" fontId="36" fillId="16" borderId="28" xfId="0" applyFont="1" applyFill="1" applyBorder="1" applyAlignment="1">
      <alignment/>
    </xf>
    <xf numFmtId="0" fontId="33" fillId="0" borderId="28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165" fontId="33" fillId="0" borderId="10" xfId="0" applyNumberFormat="1" applyFont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6" fillId="11" borderId="28" xfId="0" applyFont="1" applyFill="1" applyBorder="1" applyAlignment="1">
      <alignment horizontal="left"/>
    </xf>
    <xf numFmtId="0" fontId="36" fillId="15" borderId="10" xfId="0" applyFont="1" applyFill="1" applyBorder="1" applyAlignment="1">
      <alignment horizontal="center" vertical="center"/>
    </xf>
    <xf numFmtId="0" fontId="36" fillId="18" borderId="28" xfId="0" applyFont="1" applyFill="1" applyBorder="1" applyAlignment="1">
      <alignment horizontal="left"/>
    </xf>
    <xf numFmtId="0" fontId="32" fillId="0" borderId="0" xfId="0" applyNumberFormat="1" applyFont="1" applyFill="1" applyBorder="1" applyAlignment="1">
      <alignment horizontal="left" vertical="center"/>
    </xf>
    <xf numFmtId="0" fontId="32" fillId="0" borderId="51" xfId="0" applyFont="1" applyFill="1" applyBorder="1" applyAlignment="1">
      <alignment horizontal="left" wrapText="1"/>
    </xf>
    <xf numFmtId="0" fontId="46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right"/>
    </xf>
    <xf numFmtId="0" fontId="36" fillId="18" borderId="10" xfId="0" applyFont="1" applyFill="1" applyBorder="1" applyAlignment="1">
      <alignment vertical="center" wrapText="1"/>
    </xf>
    <xf numFmtId="0" fontId="36" fillId="18" borderId="28" xfId="0" applyFont="1" applyFill="1" applyBorder="1" applyAlignment="1">
      <alignment vertical="center" wrapText="1"/>
    </xf>
    <xf numFmtId="226" fontId="0" fillId="0" borderId="0" xfId="0" applyNumberFormat="1" applyFont="1" applyAlignment="1">
      <alignment/>
    </xf>
    <xf numFmtId="0" fontId="63" fillId="0" borderId="0" xfId="0" applyFont="1" applyBorder="1" applyAlignment="1">
      <alignment horizontal="center"/>
    </xf>
    <xf numFmtId="0" fontId="33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88" fontId="33" fillId="4" borderId="0" xfId="0" applyNumberFormat="1" applyFont="1" applyFill="1" applyBorder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Percent 2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3" width="15.7109375" style="0" customWidth="1"/>
  </cols>
  <sheetData>
    <row r="1" spans="1:10" ht="18.75">
      <c r="A1" s="315" t="s">
        <v>339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0" ht="15.75">
      <c r="A2" s="316" t="s">
        <v>354</v>
      </c>
      <c r="B2" s="535">
        <v>43301</v>
      </c>
      <c r="C2" s="316"/>
      <c r="D2" s="316"/>
      <c r="E2" s="316"/>
      <c r="F2" s="316"/>
      <c r="G2" s="316"/>
      <c r="H2" s="316"/>
      <c r="I2" s="316"/>
      <c r="J2" s="316"/>
    </row>
    <row r="3" spans="1:22" ht="12.75">
      <c r="A3" s="65" t="s">
        <v>24</v>
      </c>
      <c r="B3" s="317"/>
      <c r="C3" s="317"/>
      <c r="D3" s="317"/>
      <c r="E3" s="317"/>
      <c r="F3" s="317"/>
      <c r="G3" s="317"/>
      <c r="H3" s="317"/>
      <c r="I3" s="317"/>
      <c r="J3" s="317"/>
      <c r="O3" s="694"/>
      <c r="P3" s="694"/>
      <c r="Q3" s="694"/>
      <c r="R3" s="694"/>
      <c r="S3" s="694"/>
      <c r="T3" s="694"/>
      <c r="U3" s="694"/>
      <c r="V3" s="694"/>
    </row>
    <row r="4" spans="1:22" ht="15" customHeight="1">
      <c r="A4" s="596" t="s">
        <v>7</v>
      </c>
      <c r="B4" s="597" t="s">
        <v>121</v>
      </c>
      <c r="C4" s="598"/>
      <c r="D4" s="598"/>
      <c r="E4" s="599"/>
      <c r="F4" s="600" t="s">
        <v>236</v>
      </c>
      <c r="G4" s="601"/>
      <c r="H4" s="601"/>
      <c r="I4" s="602"/>
      <c r="J4" s="603" t="s">
        <v>340</v>
      </c>
      <c r="K4" s="604"/>
      <c r="L4" s="604"/>
      <c r="M4" s="605"/>
      <c r="N4" s="596" t="s">
        <v>7</v>
      </c>
      <c r="O4" s="695"/>
      <c r="P4" s="695"/>
      <c r="Q4" s="695"/>
      <c r="R4" s="695"/>
      <c r="S4" s="695"/>
      <c r="T4" s="695"/>
      <c r="U4" s="695"/>
      <c r="V4" s="695"/>
    </row>
    <row r="5" spans="1:22" ht="51">
      <c r="A5" s="596"/>
      <c r="B5" s="318" t="s">
        <v>237</v>
      </c>
      <c r="C5" s="318" t="s">
        <v>238</v>
      </c>
      <c r="D5" s="318" t="s">
        <v>123</v>
      </c>
      <c r="E5" s="318" t="s">
        <v>323</v>
      </c>
      <c r="F5" s="319" t="s">
        <v>239</v>
      </c>
      <c r="G5" s="319" t="s">
        <v>240</v>
      </c>
      <c r="H5" s="319" t="s">
        <v>241</v>
      </c>
      <c r="I5" s="319" t="s">
        <v>242</v>
      </c>
      <c r="J5" s="562" t="s">
        <v>239</v>
      </c>
      <c r="K5" s="562" t="s">
        <v>240</v>
      </c>
      <c r="L5" s="562" t="s">
        <v>241</v>
      </c>
      <c r="M5" s="562" t="s">
        <v>242</v>
      </c>
      <c r="N5" s="596"/>
      <c r="O5" s="696"/>
      <c r="P5" s="696"/>
      <c r="Q5" s="696"/>
      <c r="R5" s="696"/>
      <c r="S5" s="696"/>
      <c r="T5" s="696"/>
      <c r="U5" s="696"/>
      <c r="V5" s="696"/>
    </row>
    <row r="6" spans="1:22" ht="12.75">
      <c r="A6" s="320" t="s">
        <v>16</v>
      </c>
      <c r="B6" s="321">
        <f>Summary!B74</f>
        <v>2833.372633551985</v>
      </c>
      <c r="C6" s="322">
        <f>Summary!C74</f>
        <v>116.54254657486675</v>
      </c>
      <c r="D6" s="322">
        <f>Summary!D74</f>
        <v>2.333862956633178</v>
      </c>
      <c r="E6" s="322">
        <f>Summary!E74</f>
        <v>114.20868361823356</v>
      </c>
      <c r="F6" s="323">
        <f>Summary!F74</f>
        <v>2785.9917467098753</v>
      </c>
      <c r="G6" s="324">
        <f>Summary!G74</f>
        <v>117.48326800079238</v>
      </c>
      <c r="H6" s="324">
        <f>Summary!H74</f>
        <v>2.3374215368756546</v>
      </c>
      <c r="I6" s="324">
        <f>Summary!I74</f>
        <v>115.14584646391673</v>
      </c>
      <c r="J6" s="563">
        <f>Summary!J74</f>
        <v>2768.6788964855205</v>
      </c>
      <c r="K6" s="564">
        <f>Summary!K74</f>
        <v>117.74769322895426</v>
      </c>
      <c r="L6" s="564">
        <f>Summary!L74</f>
        <v>2.0702385750344074</v>
      </c>
      <c r="M6" s="564">
        <f>Summary!M74</f>
        <v>115.67745465391985</v>
      </c>
      <c r="N6" s="320" t="s">
        <v>16</v>
      </c>
      <c r="O6" s="697"/>
      <c r="P6" s="698"/>
      <c r="Q6" s="698"/>
      <c r="R6" s="698"/>
      <c r="S6" s="697"/>
      <c r="T6" s="697"/>
      <c r="U6" s="697"/>
      <c r="V6" s="697"/>
    </row>
    <row r="7" spans="1:22" ht="12.75">
      <c r="A7" s="320" t="s">
        <v>51</v>
      </c>
      <c r="B7" s="321">
        <f>Summary!B75</f>
        <v>12693.441151834171</v>
      </c>
      <c r="C7" s="322">
        <f>Summary!C75</f>
        <v>96.77254657486675</v>
      </c>
      <c r="D7" s="322">
        <f>Summary!D75</f>
        <v>0</v>
      </c>
      <c r="E7" s="322">
        <f>Summary!E75</f>
        <v>96.77254657486675</v>
      </c>
      <c r="F7" s="323">
        <f>Summary!F75</f>
        <v>12516.47783276748</v>
      </c>
      <c r="G7" s="324">
        <f>Summary!G75</f>
        <v>97.61042274272533</v>
      </c>
      <c r="H7" s="324">
        <f>Summary!H75</f>
        <v>0</v>
      </c>
      <c r="I7" s="324">
        <f>Summary!I75</f>
        <v>97.61042274272533</v>
      </c>
      <c r="J7" s="563">
        <f>Summary!J75</f>
        <v>12472.50991321504</v>
      </c>
      <c r="K7" s="564">
        <f>Summary!K75</f>
        <v>98.00898673360496</v>
      </c>
      <c r="L7" s="564">
        <f>Summary!L75</f>
        <v>0</v>
      </c>
      <c r="M7" s="564">
        <f>Summary!M75</f>
        <v>98.00898673360496</v>
      </c>
      <c r="N7" s="320" t="s">
        <v>51</v>
      </c>
      <c r="O7" s="697"/>
      <c r="P7" s="698"/>
      <c r="Q7" s="698"/>
      <c r="R7" s="698"/>
      <c r="S7" s="697"/>
      <c r="T7" s="697"/>
      <c r="U7" s="697"/>
      <c r="V7" s="697"/>
    </row>
    <row r="8" spans="1:22" ht="12.75">
      <c r="A8" s="320" t="s">
        <v>19</v>
      </c>
      <c r="B8" s="321">
        <f>Summary!B76</f>
        <v>10303.278562335663</v>
      </c>
      <c r="C8" s="322">
        <f>Summary!C76</f>
        <v>96.77254657486675</v>
      </c>
      <c r="D8" s="322">
        <f>Summary!D76</f>
        <v>0</v>
      </c>
      <c r="E8" s="322">
        <f>Summary!E76</f>
        <v>96.77254657486675</v>
      </c>
      <c r="F8" s="323">
        <f>Summary!F76</f>
        <v>10025.136967955596</v>
      </c>
      <c r="G8" s="324">
        <f>Summary!G76</f>
        <v>97.61042274272533</v>
      </c>
      <c r="H8" s="324">
        <f>Summary!H76</f>
        <v>0</v>
      </c>
      <c r="I8" s="324">
        <f>Summary!I76</f>
        <v>97.61042274272533</v>
      </c>
      <c r="J8" s="563">
        <f>Summary!J76</f>
        <v>10084.055013048497</v>
      </c>
      <c r="K8" s="564">
        <f>Summary!K76</f>
        <v>98.00898673360496</v>
      </c>
      <c r="L8" s="564">
        <f>Summary!L76</f>
        <v>0</v>
      </c>
      <c r="M8" s="564">
        <f>Summary!M76</f>
        <v>98.00898673360496</v>
      </c>
      <c r="N8" s="320" t="s">
        <v>19</v>
      </c>
      <c r="O8" s="697"/>
      <c r="P8" s="698"/>
      <c r="Q8" s="698"/>
      <c r="R8" s="698"/>
      <c r="S8" s="697"/>
      <c r="T8" s="697"/>
      <c r="U8" s="697"/>
      <c r="V8" s="697"/>
    </row>
    <row r="9" spans="1:22" ht="12.75">
      <c r="A9" s="320" t="s">
        <v>45</v>
      </c>
      <c r="B9" s="321">
        <f>Summary!B77</f>
        <v>14621.129864018563</v>
      </c>
      <c r="C9" s="322">
        <f>Summary!C77</f>
        <v>96.77254657486675</v>
      </c>
      <c r="D9" s="322">
        <f>Summary!D77</f>
        <v>0</v>
      </c>
      <c r="E9" s="322">
        <f>Summary!E77</f>
        <v>96.77254657486675</v>
      </c>
      <c r="F9" s="323">
        <f>Summary!F77</f>
        <v>14668.456545805388</v>
      </c>
      <c r="G9" s="324">
        <f>Summary!G77</f>
        <v>97.61042274272533</v>
      </c>
      <c r="H9" s="324">
        <f>Summary!H77</f>
        <v>0</v>
      </c>
      <c r="I9" s="324">
        <f>Summary!I77</f>
        <v>97.61042274272533</v>
      </c>
      <c r="J9" s="563">
        <f>Summary!J77</f>
        <v>14655.430610386642</v>
      </c>
      <c r="K9" s="564">
        <f>Summary!K77</f>
        <v>98.00898673360496</v>
      </c>
      <c r="L9" s="564">
        <f>Summary!L77</f>
        <v>0</v>
      </c>
      <c r="M9" s="564">
        <f>Summary!M77</f>
        <v>98.00898673360496</v>
      </c>
      <c r="N9" s="320" t="s">
        <v>45</v>
      </c>
      <c r="O9" s="697"/>
      <c r="P9" s="698"/>
      <c r="Q9" s="698"/>
      <c r="R9" s="698"/>
      <c r="S9" s="697"/>
      <c r="T9" s="697"/>
      <c r="U9" s="697"/>
      <c r="V9" s="697"/>
    </row>
    <row r="10" spans="1:22" ht="12.75">
      <c r="A10" s="320" t="s">
        <v>11</v>
      </c>
      <c r="B10" s="321">
        <f>Summary!B78</f>
        <v>7831.465136009944</v>
      </c>
      <c r="C10" s="322">
        <f>Summary!C78</f>
        <v>97.07254657486675</v>
      </c>
      <c r="D10" s="322">
        <f>Summary!D78</f>
        <v>0.18081923576364947</v>
      </c>
      <c r="E10" s="322">
        <f>Summary!E78</f>
        <v>96.8917273391031</v>
      </c>
      <c r="F10" s="323">
        <f>Summary!F78</f>
        <v>7676.643925188852</v>
      </c>
      <c r="G10" s="324">
        <f>Summary!G78</f>
        <v>97.92587585752977</v>
      </c>
      <c r="H10" s="324">
        <f>Summary!H78</f>
        <v>0.193120500197761</v>
      </c>
      <c r="I10" s="324">
        <f>Summary!I78</f>
        <v>97.73275535733201</v>
      </c>
      <c r="J10" s="563">
        <f>Summary!J78</f>
        <v>7609.16632204743</v>
      </c>
      <c r="K10" s="564">
        <f>Summary!K78</f>
        <v>97.11831312699445</v>
      </c>
      <c r="L10" s="564">
        <f>Summary!L78</f>
        <v>-0.6016938541731343</v>
      </c>
      <c r="M10" s="564">
        <f>Summary!M78</f>
        <v>97.72000698116759</v>
      </c>
      <c r="N10" s="320" t="s">
        <v>11</v>
      </c>
      <c r="O10" s="697"/>
      <c r="P10" s="698"/>
      <c r="Q10" s="698"/>
      <c r="R10" s="698"/>
      <c r="S10" s="697"/>
      <c r="T10" s="697"/>
      <c r="U10" s="697"/>
      <c r="V10" s="697"/>
    </row>
    <row r="11" spans="1:22" ht="12.75">
      <c r="A11" s="320" t="s">
        <v>20</v>
      </c>
      <c r="B11" s="321">
        <f>Summary!B79</f>
        <v>25326.527160032154</v>
      </c>
      <c r="C11" s="322">
        <f>Summary!C79</f>
        <v>199.54254657486675</v>
      </c>
      <c r="D11" s="322">
        <f>Summary!D79</f>
        <v>9.55663667217914</v>
      </c>
      <c r="E11" s="322">
        <f>Summary!E79</f>
        <v>189.9859099026876</v>
      </c>
      <c r="F11" s="323">
        <f>Summary!F79</f>
        <v>25311.925015333945</v>
      </c>
      <c r="G11" s="324">
        <f>Summary!G79</f>
        <v>198.51229257906976</v>
      </c>
      <c r="H11" s="324">
        <f>Summary!H79</f>
        <v>7.6347328418311085</v>
      </c>
      <c r="I11" s="324">
        <f>Summary!I79</f>
        <v>190.87755973723867</v>
      </c>
      <c r="J11" s="563">
        <f>Summary!J79</f>
        <v>25196.623183168955</v>
      </c>
      <c r="K11" s="564">
        <f>Summary!K79</f>
        <v>198.88024601628555</v>
      </c>
      <c r="L11" s="564">
        <f>Summary!L79</f>
        <v>7.177324153430145</v>
      </c>
      <c r="M11" s="564">
        <f>Summary!M79</f>
        <v>191.70292186285542</v>
      </c>
      <c r="N11" s="320" t="s">
        <v>20</v>
      </c>
      <c r="O11" s="697"/>
      <c r="P11" s="698"/>
      <c r="Q11" s="698"/>
      <c r="R11" s="698"/>
      <c r="S11" s="697"/>
      <c r="T11" s="697"/>
      <c r="U11" s="697"/>
      <c r="V11" s="697"/>
    </row>
    <row r="12" spans="1:22" ht="12.75">
      <c r="A12" s="320" t="s">
        <v>21</v>
      </c>
      <c r="B12" s="321">
        <f>Summary!B80</f>
        <v>3875.1730415533075</v>
      </c>
      <c r="C12" s="322">
        <f>Summary!C80</f>
        <v>96.77254657486675</v>
      </c>
      <c r="D12" s="322">
        <f>Summary!D80</f>
        <v>0</v>
      </c>
      <c r="E12" s="322">
        <f>Summary!E80</f>
        <v>96.77254657486675</v>
      </c>
      <c r="F12" s="323">
        <f>Summary!F80</f>
        <v>3882.6551645939976</v>
      </c>
      <c r="G12" s="324">
        <f>Summary!G80</f>
        <v>97.61042274272533</v>
      </c>
      <c r="H12" s="324">
        <f>Summary!H80</f>
        <v>0</v>
      </c>
      <c r="I12" s="324">
        <f>Summary!I80</f>
        <v>97.61042274272533</v>
      </c>
      <c r="J12" s="563">
        <f>Summary!J80</f>
        <v>3862.753621709638</v>
      </c>
      <c r="K12" s="564">
        <f>Summary!K80</f>
        <v>98.00898673360496</v>
      </c>
      <c r="L12" s="564">
        <f>Summary!L80</f>
        <v>0</v>
      </c>
      <c r="M12" s="564">
        <f>Summary!M80</f>
        <v>98.00898673360496</v>
      </c>
      <c r="N12" s="320" t="s">
        <v>21</v>
      </c>
      <c r="O12" s="697"/>
      <c r="P12" s="698"/>
      <c r="Q12" s="698"/>
      <c r="R12" s="698"/>
      <c r="S12" s="697"/>
      <c r="T12" s="697"/>
      <c r="U12" s="697"/>
      <c r="V12" s="697"/>
    </row>
    <row r="13" spans="1:22" ht="12.75">
      <c r="A13" s="320" t="s">
        <v>54</v>
      </c>
      <c r="B13" s="321">
        <f>Summary!B81</f>
        <v>5244.322726476427</v>
      </c>
      <c r="C13" s="322">
        <f>Summary!C81</f>
        <v>96.77254657486675</v>
      </c>
      <c r="D13" s="322">
        <f>Summary!D81</f>
        <v>0</v>
      </c>
      <c r="E13" s="322">
        <f>Summary!E81</f>
        <v>96.77254657486675</v>
      </c>
      <c r="F13" s="323">
        <f>Summary!F81</f>
        <v>5226.667265396978</v>
      </c>
      <c r="G13" s="324">
        <f>Summary!G81</f>
        <v>97.61042274272533</v>
      </c>
      <c r="H13" s="324">
        <f>Summary!H81</f>
        <v>0</v>
      </c>
      <c r="I13" s="324">
        <f>Summary!I81</f>
        <v>97.61042274272533</v>
      </c>
      <c r="J13" s="563">
        <f>Summary!J81</f>
        <v>5228.516732993431</v>
      </c>
      <c r="K13" s="564">
        <f>Summary!K81</f>
        <v>98.00898673360496</v>
      </c>
      <c r="L13" s="564">
        <f>Summary!L81</f>
        <v>0</v>
      </c>
      <c r="M13" s="564">
        <f>Summary!M81</f>
        <v>98.00898673360496</v>
      </c>
      <c r="N13" s="320" t="s">
        <v>54</v>
      </c>
      <c r="O13" s="697"/>
      <c r="P13" s="698"/>
      <c r="Q13" s="698"/>
      <c r="R13" s="698"/>
      <c r="S13" s="697"/>
      <c r="T13" s="697"/>
      <c r="U13" s="697"/>
      <c r="V13" s="697"/>
    </row>
    <row r="14" spans="1:22" ht="12.75">
      <c r="A14" s="320" t="s">
        <v>44</v>
      </c>
      <c r="B14" s="321">
        <f>Summary!B82</f>
        <v>3276.05089368158</v>
      </c>
      <c r="C14" s="322">
        <f>Summary!C82</f>
        <v>96.77254657486675</v>
      </c>
      <c r="D14" s="322">
        <f>Summary!D82</f>
        <v>0</v>
      </c>
      <c r="E14" s="322">
        <f>Summary!E82</f>
        <v>96.77254657486675</v>
      </c>
      <c r="F14" s="323">
        <f>Summary!F82</f>
        <v>3243.3237252317645</v>
      </c>
      <c r="G14" s="324">
        <f>Summary!G82</f>
        <v>97.61042274272533</v>
      </c>
      <c r="H14" s="324">
        <f>Summary!H82</f>
        <v>0</v>
      </c>
      <c r="I14" s="324">
        <f>Summary!I82</f>
        <v>97.61042274272533</v>
      </c>
      <c r="J14" s="563">
        <f>Summary!J82</f>
        <v>3238.7432252606513</v>
      </c>
      <c r="K14" s="564">
        <f>Summary!K82</f>
        <v>98.00898673360496</v>
      </c>
      <c r="L14" s="564">
        <f>Summary!L82</f>
        <v>0</v>
      </c>
      <c r="M14" s="564">
        <f>Summary!M82</f>
        <v>98.00898673360496</v>
      </c>
      <c r="N14" s="320" t="s">
        <v>44</v>
      </c>
      <c r="O14" s="697"/>
      <c r="P14" s="698"/>
      <c r="Q14" s="698"/>
      <c r="R14" s="698"/>
      <c r="S14" s="697"/>
      <c r="T14" s="697"/>
      <c r="U14" s="697"/>
      <c r="V14" s="697"/>
    </row>
    <row r="15" spans="1:22" ht="12.75">
      <c r="A15" s="320" t="s">
        <v>31</v>
      </c>
      <c r="B15" s="321">
        <f>Summary!B83</f>
        <v>23297.391993836034</v>
      </c>
      <c r="C15" s="322">
        <f>Summary!C83</f>
        <v>96.77254657486675</v>
      </c>
      <c r="D15" s="322">
        <f>Summary!D83</f>
        <v>0</v>
      </c>
      <c r="E15" s="322">
        <f>Summary!E83</f>
        <v>96.77254657486675</v>
      </c>
      <c r="F15" s="323">
        <f>Summary!F83</f>
        <v>22711.432719095963</v>
      </c>
      <c r="G15" s="324">
        <f>Summary!G83</f>
        <v>97.61042274272533</v>
      </c>
      <c r="H15" s="324">
        <f>Summary!H83</f>
        <v>0</v>
      </c>
      <c r="I15" s="324">
        <f>Summary!I83</f>
        <v>97.61042274272533</v>
      </c>
      <c r="J15" s="563">
        <f>Summary!J83</f>
        <v>22459.673628875753</v>
      </c>
      <c r="K15" s="564">
        <f>Summary!K83</f>
        <v>98.00898673360496</v>
      </c>
      <c r="L15" s="564">
        <f>Summary!L83</f>
        <v>0</v>
      </c>
      <c r="M15" s="564">
        <f>Summary!M83</f>
        <v>98.00898673360496</v>
      </c>
      <c r="N15" s="320" t="s">
        <v>31</v>
      </c>
      <c r="O15" s="697"/>
      <c r="P15" s="698"/>
      <c r="Q15" s="698"/>
      <c r="R15" s="698"/>
      <c r="S15" s="697"/>
      <c r="T15" s="697"/>
      <c r="U15" s="697"/>
      <c r="V15" s="697"/>
    </row>
    <row r="16" spans="1:22" ht="12.75">
      <c r="A16" s="320" t="s">
        <v>17</v>
      </c>
      <c r="B16" s="321">
        <f>Summary!B84</f>
        <v>4538.031588134795</v>
      </c>
      <c r="C16" s="322">
        <f>Summary!C84</f>
        <v>116.54254657486675</v>
      </c>
      <c r="D16" s="322">
        <f>Summary!D84</f>
        <v>2.333862956633178</v>
      </c>
      <c r="E16" s="322">
        <f>Summary!E84</f>
        <v>114.20868361823356</v>
      </c>
      <c r="F16" s="323">
        <f>Summary!F84</f>
        <v>4520.819940745715</v>
      </c>
      <c r="G16" s="324">
        <f>Summary!G84</f>
        <v>117.48326800079238</v>
      </c>
      <c r="H16" s="324">
        <f>Summary!H84</f>
        <v>2.3374215368756546</v>
      </c>
      <c r="I16" s="324">
        <f>Summary!I84</f>
        <v>115.14584646391673</v>
      </c>
      <c r="J16" s="563">
        <f>Summary!J84</f>
        <v>4445.6333893908</v>
      </c>
      <c r="K16" s="564">
        <f>Summary!K84</f>
        <v>117.74769322895426</v>
      </c>
      <c r="L16" s="564">
        <f>Summary!L84</f>
        <v>2.0702385750344074</v>
      </c>
      <c r="M16" s="564">
        <f>Summary!M84</f>
        <v>115.67745465391985</v>
      </c>
      <c r="N16" s="320" t="s">
        <v>17</v>
      </c>
      <c r="O16" s="697"/>
      <c r="P16" s="698"/>
      <c r="Q16" s="698"/>
      <c r="R16" s="698"/>
      <c r="S16" s="697"/>
      <c r="T16" s="697"/>
      <c r="U16" s="697"/>
      <c r="V16" s="697"/>
    </row>
    <row r="17" spans="1:22" ht="12.75">
      <c r="A17" s="320" t="s">
        <v>130</v>
      </c>
      <c r="B17" s="321">
        <f>Summary!B85</f>
        <v>2455.7370956963746</v>
      </c>
      <c r="C17" s="322">
        <f>Summary!C85</f>
        <v>96.77254657486675</v>
      </c>
      <c r="D17" s="322">
        <f>Summary!D85</f>
        <v>0</v>
      </c>
      <c r="E17" s="322">
        <f>Summary!E85</f>
        <v>96.77254657486675</v>
      </c>
      <c r="F17" s="323">
        <f>Summary!F85</f>
        <v>2464.618975348182</v>
      </c>
      <c r="G17" s="324">
        <f>Summary!G85</f>
        <v>97.61042274272533</v>
      </c>
      <c r="H17" s="324">
        <f>Summary!H85</f>
        <v>0</v>
      </c>
      <c r="I17" s="324">
        <f>Summary!I85</f>
        <v>97.61042274272533</v>
      </c>
      <c r="J17" s="563">
        <f>Summary!J85</f>
        <v>2551.7494042036424</v>
      </c>
      <c r="K17" s="564">
        <f>Summary!K85</f>
        <v>98.00898673360496</v>
      </c>
      <c r="L17" s="564">
        <f>Summary!L85</f>
        <v>0</v>
      </c>
      <c r="M17" s="564">
        <f>Summary!M85</f>
        <v>98.00898673360496</v>
      </c>
      <c r="N17" s="320" t="s">
        <v>130</v>
      </c>
      <c r="O17" s="697"/>
      <c r="P17" s="698"/>
      <c r="Q17" s="698"/>
      <c r="R17" s="698"/>
      <c r="S17" s="697"/>
      <c r="T17" s="697"/>
      <c r="U17" s="697"/>
      <c r="V17" s="697"/>
    </row>
    <row r="18" spans="1:22" ht="12.75">
      <c r="A18" s="320" t="s">
        <v>12</v>
      </c>
      <c r="B18" s="321">
        <f>Summary!B86</f>
        <v>6826.747723621571</v>
      </c>
      <c r="C18" s="322">
        <f>Summary!C86</f>
        <v>116.54254657486675</v>
      </c>
      <c r="D18" s="322">
        <f>Summary!D86</f>
        <v>2.333862956633178</v>
      </c>
      <c r="E18" s="322">
        <f>Summary!E86</f>
        <v>114.20868361823356</v>
      </c>
      <c r="F18" s="323">
        <f>Summary!F86</f>
        <v>6838.979740039067</v>
      </c>
      <c r="G18" s="324">
        <f>Summary!G86</f>
        <v>117.48326800079238</v>
      </c>
      <c r="H18" s="324">
        <f>Summary!H86</f>
        <v>2.337421536875654</v>
      </c>
      <c r="I18" s="324">
        <f>Summary!I86</f>
        <v>115.14584646391673</v>
      </c>
      <c r="J18" s="563">
        <f>Summary!J86</f>
        <v>6685.4899160043</v>
      </c>
      <c r="K18" s="564">
        <f>Summary!K86</f>
        <v>117.74769322895426</v>
      </c>
      <c r="L18" s="564">
        <f>Summary!L86</f>
        <v>2.0702385750344074</v>
      </c>
      <c r="M18" s="564">
        <f>Summary!M86</f>
        <v>115.67745465391985</v>
      </c>
      <c r="N18" s="320" t="s">
        <v>12</v>
      </c>
      <c r="O18" s="697"/>
      <c r="P18" s="698"/>
      <c r="Q18" s="698"/>
      <c r="R18" s="698"/>
      <c r="S18" s="697"/>
      <c r="T18" s="697"/>
      <c r="U18" s="697"/>
      <c r="V18" s="697"/>
    </row>
    <row r="19" spans="1:22" ht="12.75">
      <c r="A19" s="320" t="s">
        <v>13</v>
      </c>
      <c r="B19" s="321">
        <f>Summary!B87</f>
        <v>3403.523691101096</v>
      </c>
      <c r="C19" s="322">
        <f>Summary!C87</f>
        <v>96.77254657486675</v>
      </c>
      <c r="D19" s="322">
        <f>Summary!D87</f>
        <v>0</v>
      </c>
      <c r="E19" s="322">
        <f>Summary!E87</f>
        <v>96.77254657486675</v>
      </c>
      <c r="F19" s="323">
        <f>Summary!F87</f>
        <v>3352.990067020177</v>
      </c>
      <c r="G19" s="324">
        <f>Summary!G87</f>
        <v>97.61042274272533</v>
      </c>
      <c r="H19" s="324">
        <f>Summary!H87</f>
        <v>0</v>
      </c>
      <c r="I19" s="324">
        <f>Summary!I87</f>
        <v>97.61042274272533</v>
      </c>
      <c r="J19" s="563">
        <f>Summary!J87</f>
        <v>3379.7625238931905</v>
      </c>
      <c r="K19" s="564">
        <f>Summary!K87</f>
        <v>98.00898673360496</v>
      </c>
      <c r="L19" s="564">
        <f>Summary!L87</f>
        <v>0</v>
      </c>
      <c r="M19" s="564">
        <f>Summary!M87</f>
        <v>98.00898673360496</v>
      </c>
      <c r="N19" s="320" t="s">
        <v>13</v>
      </c>
      <c r="O19" s="697"/>
      <c r="P19" s="698"/>
      <c r="Q19" s="698"/>
      <c r="R19" s="698"/>
      <c r="S19" s="697"/>
      <c r="T19" s="697"/>
      <c r="U19" s="697"/>
      <c r="V19" s="697"/>
    </row>
    <row r="20" spans="1:22" ht="12.75">
      <c r="A20" s="320" t="s">
        <v>9</v>
      </c>
      <c r="B20" s="321">
        <f>Summary!B88</f>
        <v>9846.694178851214</v>
      </c>
      <c r="C20" s="322">
        <f>Summary!C88</f>
        <v>116.54254657486675</v>
      </c>
      <c r="D20" s="322">
        <f>Summary!D88</f>
        <v>2.3338629566331774</v>
      </c>
      <c r="E20" s="322">
        <f>Summary!E88</f>
        <v>114.20868361823356</v>
      </c>
      <c r="F20" s="323">
        <f>Summary!F88</f>
        <v>9739.304481379415</v>
      </c>
      <c r="G20" s="324">
        <f>Summary!G88</f>
        <v>117.48326800079238</v>
      </c>
      <c r="H20" s="324">
        <f>Summary!H88</f>
        <v>2.337421536875654</v>
      </c>
      <c r="I20" s="324">
        <f>Summary!I88</f>
        <v>115.14584646391673</v>
      </c>
      <c r="J20" s="563">
        <f>Summary!J88</f>
        <v>9841.971883729302</v>
      </c>
      <c r="K20" s="564">
        <f>Summary!K88</f>
        <v>117.74769322895426</v>
      </c>
      <c r="L20" s="564">
        <f>Summary!L88</f>
        <v>2.070238575034407</v>
      </c>
      <c r="M20" s="564">
        <f>Summary!M88</f>
        <v>115.67745465391985</v>
      </c>
      <c r="N20" s="320" t="s">
        <v>9</v>
      </c>
      <c r="O20" s="697"/>
      <c r="P20" s="698"/>
      <c r="Q20" s="698"/>
      <c r="R20" s="698"/>
      <c r="S20" s="697"/>
      <c r="T20" s="697"/>
      <c r="U20" s="697"/>
      <c r="V20" s="697"/>
    </row>
    <row r="21" spans="1:22" ht="12.75">
      <c r="A21" s="320" t="s">
        <v>14</v>
      </c>
      <c r="B21" s="321">
        <f>Summary!B89</f>
        <v>3220.4264002621535</v>
      </c>
      <c r="C21" s="322">
        <f>Summary!C89</f>
        <v>96.77254657486675</v>
      </c>
      <c r="D21" s="322">
        <f>Summary!D89</f>
        <v>0</v>
      </c>
      <c r="E21" s="322">
        <f>Summary!E89</f>
        <v>96.77254657486675</v>
      </c>
      <c r="F21" s="323">
        <f>Summary!F89</f>
        <v>3236.3237459686748</v>
      </c>
      <c r="G21" s="324">
        <f>Summary!G89</f>
        <v>97.61042274272533</v>
      </c>
      <c r="H21" s="324">
        <f>Summary!H89</f>
        <v>0</v>
      </c>
      <c r="I21" s="324">
        <f>Summary!I89</f>
        <v>97.61042274272533</v>
      </c>
      <c r="J21" s="563">
        <f>Summary!J89</f>
        <v>3256.3706375897195</v>
      </c>
      <c r="K21" s="564">
        <f>Summary!K89</f>
        <v>98.00898673360496</v>
      </c>
      <c r="L21" s="564">
        <f>Summary!L89</f>
        <v>0</v>
      </c>
      <c r="M21" s="564">
        <f>Summary!M89</f>
        <v>98.00898673360496</v>
      </c>
      <c r="N21" s="320" t="s">
        <v>14</v>
      </c>
      <c r="O21" s="697"/>
      <c r="P21" s="698"/>
      <c r="Q21" s="698"/>
      <c r="R21" s="698"/>
      <c r="S21" s="697"/>
      <c r="T21" s="697"/>
      <c r="U21" s="697"/>
      <c r="V21" s="697"/>
    </row>
    <row r="22" spans="1:22" ht="12.75">
      <c r="A22" s="320" t="s">
        <v>15</v>
      </c>
      <c r="B22" s="321">
        <f>Summary!B90</f>
        <v>7401.534155622302</v>
      </c>
      <c r="C22" s="322">
        <f>Summary!C90</f>
        <v>91.64452119499754</v>
      </c>
      <c r="D22" s="322">
        <f>Summary!D90</f>
        <v>0</v>
      </c>
      <c r="E22" s="322">
        <f>Summary!E90</f>
        <v>91.64452119499754</v>
      </c>
      <c r="F22" s="323">
        <f>Summary!F90</f>
        <v>7381.478132928552</v>
      </c>
      <c r="G22" s="324">
        <f>Summary!G90</f>
        <v>92.46846413816309</v>
      </c>
      <c r="H22" s="324">
        <f>Summary!H90</f>
        <v>0</v>
      </c>
      <c r="I22" s="324">
        <f>Summary!I90</f>
        <v>92.46846413816309</v>
      </c>
      <c r="J22" s="563">
        <f>Summary!J90</f>
        <v>7281.296452726779</v>
      </c>
      <c r="K22" s="564">
        <f>Summary!K90</f>
        <v>92.79628110536672</v>
      </c>
      <c r="L22" s="564">
        <f>Summary!L90</f>
        <v>0</v>
      </c>
      <c r="M22" s="564">
        <f>Summary!M90</f>
        <v>92.79628110536672</v>
      </c>
      <c r="N22" s="320" t="s">
        <v>15</v>
      </c>
      <c r="O22" s="697"/>
      <c r="P22" s="698"/>
      <c r="Q22" s="698"/>
      <c r="R22" s="698"/>
      <c r="S22" s="697"/>
      <c r="T22" s="697"/>
      <c r="U22" s="697"/>
      <c r="V22" s="697"/>
    </row>
    <row r="23" spans="1:22" ht="12.75">
      <c r="A23" s="320" t="s">
        <v>10</v>
      </c>
      <c r="B23" s="321">
        <f>Summary!B91</f>
        <v>8420.15769136553</v>
      </c>
      <c r="C23" s="322">
        <f>Summary!C91</f>
        <v>96.77254657486675</v>
      </c>
      <c r="D23" s="322">
        <f>Summary!D91</f>
        <v>0</v>
      </c>
      <c r="E23" s="322">
        <f>Summary!E91</f>
        <v>96.77254657486675</v>
      </c>
      <c r="F23" s="323">
        <f>Summary!F91</f>
        <v>8276.308815393575</v>
      </c>
      <c r="G23" s="324">
        <f>Summary!G91</f>
        <v>97.61042274272533</v>
      </c>
      <c r="H23" s="324">
        <f>Summary!H91</f>
        <v>0</v>
      </c>
      <c r="I23" s="324">
        <f>Summary!I91</f>
        <v>97.61042274272533</v>
      </c>
      <c r="J23" s="563">
        <f>Summary!J91</f>
        <v>8291.934759593307</v>
      </c>
      <c r="K23" s="564">
        <f>Summary!K91</f>
        <v>98.00898673360496</v>
      </c>
      <c r="L23" s="564">
        <f>Summary!L91</f>
        <v>0</v>
      </c>
      <c r="M23" s="564">
        <f>Summary!M91</f>
        <v>98.00898673360496</v>
      </c>
      <c r="N23" s="320" t="s">
        <v>10</v>
      </c>
      <c r="O23" s="697"/>
      <c r="P23" s="698"/>
      <c r="Q23" s="698"/>
      <c r="R23" s="698"/>
      <c r="S23" s="697"/>
      <c r="T23" s="697"/>
      <c r="U23" s="697"/>
      <c r="V23" s="697"/>
    </row>
    <row r="24" spans="1:22" ht="12.75">
      <c r="A24" s="320" t="s">
        <v>8</v>
      </c>
      <c r="B24" s="321">
        <f>Summary!B92</f>
        <v>11435.46877214355</v>
      </c>
      <c r="C24" s="322">
        <f>Summary!C92</f>
        <v>116.78972244988513</v>
      </c>
      <c r="D24" s="322">
        <f>Summary!D92</f>
        <v>2.333862956633178</v>
      </c>
      <c r="E24" s="322">
        <f>Summary!E92</f>
        <v>114.45585949325195</v>
      </c>
      <c r="F24" s="323">
        <f>Summary!F92</f>
        <v>11299.133193837999</v>
      </c>
      <c r="G24" s="324">
        <f>Summary!G92</f>
        <v>117.73342630510739</v>
      </c>
      <c r="H24" s="324">
        <f>Summary!H92</f>
        <v>2.337421536875654</v>
      </c>
      <c r="I24" s="324">
        <f>Summary!I92</f>
        <v>115.39600476823173</v>
      </c>
      <c r="J24" s="563">
        <f>Summary!J92</f>
        <v>11169.903612519045</v>
      </c>
      <c r="K24" s="564">
        <f>Summary!K92</f>
        <v>118.00074572591869</v>
      </c>
      <c r="L24" s="564">
        <f>Summary!L92</f>
        <v>2.0702385750344074</v>
      </c>
      <c r="M24" s="564">
        <f>Summary!M92</f>
        <v>115.93050715088428</v>
      </c>
      <c r="N24" s="320" t="s">
        <v>8</v>
      </c>
      <c r="O24" s="697"/>
      <c r="P24" s="698"/>
      <c r="Q24" s="698"/>
      <c r="R24" s="698"/>
      <c r="S24" s="697"/>
      <c r="T24" s="697"/>
      <c r="U24" s="697"/>
      <c r="V24" s="697"/>
    </row>
    <row r="25" spans="1:22" ht="12.75">
      <c r="A25" s="320" t="s">
        <v>18</v>
      </c>
      <c r="B25" s="321">
        <f>Summary!B93</f>
        <v>455.42553987154605</v>
      </c>
      <c r="C25" s="322">
        <f>Summary!C93</f>
        <v>116.54254657486675</v>
      </c>
      <c r="D25" s="322">
        <f>Summary!D93</f>
        <v>2.3338629566331774</v>
      </c>
      <c r="E25" s="322">
        <f>Summary!E93</f>
        <v>114.20868361823356</v>
      </c>
      <c r="F25" s="323">
        <f>Summary!F93</f>
        <v>450.33199925879893</v>
      </c>
      <c r="G25" s="324">
        <f>Summary!G93</f>
        <v>117.48326800079238</v>
      </c>
      <c r="H25" s="324">
        <f>Summary!H93</f>
        <v>2.337421536875654</v>
      </c>
      <c r="I25" s="324">
        <f>Summary!I93</f>
        <v>115.14584646391673</v>
      </c>
      <c r="J25" s="563">
        <f>Summary!J93</f>
        <v>447.73627315831214</v>
      </c>
      <c r="K25" s="564">
        <f>Summary!K93</f>
        <v>117.74769322895426</v>
      </c>
      <c r="L25" s="564">
        <f>Summary!L93</f>
        <v>2.0702385750344074</v>
      </c>
      <c r="M25" s="564">
        <f>Summary!M93</f>
        <v>115.67745465391985</v>
      </c>
      <c r="N25" s="320" t="s">
        <v>18</v>
      </c>
      <c r="O25" s="697"/>
      <c r="P25" s="698"/>
      <c r="Q25" s="698"/>
      <c r="R25" s="698"/>
      <c r="S25" s="697"/>
      <c r="T25" s="697"/>
      <c r="U25" s="697"/>
      <c r="V25" s="697"/>
    </row>
    <row r="26" spans="1:22" ht="12.75">
      <c r="A26" s="26"/>
      <c r="B26" s="325">
        <f>SUM(B6:B25)</f>
        <v>167305.89999999997</v>
      </c>
      <c r="C26" s="326"/>
      <c r="D26" s="326"/>
      <c r="E26" s="326"/>
      <c r="F26" s="327">
        <f>SUM(F6:F25)</f>
        <v>165608.99999999997</v>
      </c>
      <c r="G26" s="326"/>
      <c r="H26" s="326"/>
      <c r="I26" s="326"/>
      <c r="J26" s="565">
        <f>SUM(J6:J25)</f>
        <v>164927.99999999994</v>
      </c>
      <c r="K26" s="326"/>
      <c r="L26" s="326"/>
      <c r="M26" s="326"/>
      <c r="O26" s="699"/>
      <c r="P26" s="15"/>
      <c r="Q26" s="15"/>
      <c r="R26" s="15"/>
      <c r="S26" s="699"/>
      <c r="T26" s="15"/>
      <c r="U26" s="15"/>
      <c r="V26" s="15"/>
    </row>
    <row r="27" spans="1:9" ht="12.75">
      <c r="A27" s="27" t="s">
        <v>124</v>
      </c>
      <c r="B27" s="23"/>
      <c r="C27" s="23"/>
      <c r="D27" s="23"/>
      <c r="E27" s="23"/>
      <c r="F27" s="23"/>
      <c r="G27" s="23"/>
      <c r="H27" s="23"/>
      <c r="I27" s="23"/>
    </row>
  </sheetData>
  <sheetProtection/>
  <mergeCells count="9">
    <mergeCell ref="S4:V4"/>
    <mergeCell ref="O3:R3"/>
    <mergeCell ref="S3:V3"/>
    <mergeCell ref="A4:A5"/>
    <mergeCell ref="B4:E4"/>
    <mergeCell ref="F4:I4"/>
    <mergeCell ref="N4:N5"/>
    <mergeCell ref="J4:M4"/>
    <mergeCell ref="O4:R4"/>
  </mergeCells>
  <printOptions/>
  <pageMargins left="0.5" right="0.5" top="0.5" bottom="0.5" header="0.3" footer="0.3"/>
  <pageSetup fitToHeight="1" fitToWidth="1" horizontalDpi="600" verticalDpi="6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5.7109375" style="0" customWidth="1"/>
    <col min="2" max="27" width="15.7109375" style="0" customWidth="1"/>
    <col min="28" max="28" width="19.00390625" style="0" customWidth="1"/>
    <col min="29" max="32" width="15.7109375" style="0" customWidth="1"/>
  </cols>
  <sheetData>
    <row r="1" spans="1:2" ht="18.75">
      <c r="A1" s="111" t="s">
        <v>317</v>
      </c>
      <c r="B1" s="11" t="s">
        <v>24</v>
      </c>
    </row>
    <row r="2" spans="1:3" ht="19.5" thickBot="1">
      <c r="A2" s="3"/>
      <c r="C2" s="18"/>
    </row>
    <row r="3" spans="1:22" ht="13.5" customHeight="1" thickBot="1">
      <c r="A3" s="649" t="s">
        <v>64</v>
      </c>
      <c r="B3" s="23"/>
      <c r="C3" s="155" t="s">
        <v>139</v>
      </c>
      <c r="D3" s="23"/>
      <c r="E3" s="23"/>
      <c r="F3" s="23"/>
      <c r="G3" s="23"/>
      <c r="H3" s="23"/>
      <c r="I3" s="155" t="s">
        <v>139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3.5" customHeight="1" thickBot="1">
      <c r="A4" s="650"/>
      <c r="B4" s="289" t="s">
        <v>29</v>
      </c>
      <c r="C4" s="289" t="s">
        <v>29</v>
      </c>
      <c r="D4" s="290" t="s">
        <v>35</v>
      </c>
      <c r="E4" s="290" t="s">
        <v>5</v>
      </c>
      <c r="F4" s="290" t="s">
        <v>8</v>
      </c>
      <c r="G4" s="290" t="s">
        <v>36</v>
      </c>
      <c r="H4" s="290" t="s">
        <v>37</v>
      </c>
      <c r="I4" s="290" t="s">
        <v>37</v>
      </c>
      <c r="J4" s="290" t="s">
        <v>15</v>
      </c>
      <c r="K4" s="290" t="s">
        <v>11</v>
      </c>
      <c r="L4" s="175"/>
      <c r="M4" s="175"/>
      <c r="N4" s="175"/>
      <c r="O4" s="175"/>
      <c r="P4" s="175"/>
      <c r="Q4" s="23"/>
      <c r="R4" s="23"/>
      <c r="S4" s="23"/>
      <c r="T4" s="23"/>
      <c r="U4" s="23"/>
      <c r="V4" s="23"/>
    </row>
    <row r="5" spans="1:22" ht="25.5">
      <c r="A5" s="291" t="s">
        <v>103</v>
      </c>
      <c r="B5" s="292" t="s">
        <v>114</v>
      </c>
      <c r="C5" s="292" t="s">
        <v>140</v>
      </c>
      <c r="D5" s="293" t="s">
        <v>148</v>
      </c>
      <c r="E5" s="293" t="s">
        <v>148</v>
      </c>
      <c r="F5" s="293" t="s">
        <v>148</v>
      </c>
      <c r="G5" s="293" t="s">
        <v>148</v>
      </c>
      <c r="H5" s="293" t="s">
        <v>114</v>
      </c>
      <c r="I5" s="293" t="s">
        <v>140</v>
      </c>
      <c r="J5" s="293" t="s">
        <v>148</v>
      </c>
      <c r="K5" s="293" t="s">
        <v>148</v>
      </c>
      <c r="L5" s="175"/>
      <c r="M5" s="175"/>
      <c r="N5" s="175"/>
      <c r="O5" s="175"/>
      <c r="P5" s="175"/>
      <c r="Q5" s="34"/>
      <c r="R5" s="23"/>
      <c r="S5" s="23"/>
      <c r="T5" s="23"/>
      <c r="U5" s="23"/>
      <c r="V5" s="23"/>
    </row>
    <row r="6" spans="1:22" ht="12.75">
      <c r="A6" s="162" t="s">
        <v>192</v>
      </c>
      <c r="B6" s="232"/>
      <c r="C6" s="232"/>
      <c r="D6" s="233"/>
      <c r="E6" s="233"/>
      <c r="F6" s="233"/>
      <c r="G6" s="233"/>
      <c r="H6" s="233"/>
      <c r="I6" s="233"/>
      <c r="J6" s="233"/>
      <c r="K6" s="233"/>
      <c r="L6" s="175"/>
      <c r="M6" s="175"/>
      <c r="N6" s="175"/>
      <c r="O6" s="175"/>
      <c r="P6" s="175"/>
      <c r="Q6" s="34"/>
      <c r="R6" s="23"/>
      <c r="S6" s="23"/>
      <c r="T6" s="23"/>
      <c r="U6" s="23"/>
      <c r="V6" s="23"/>
    </row>
    <row r="7" spans="1:22" ht="12.75">
      <c r="A7" s="294" t="s">
        <v>95</v>
      </c>
      <c r="B7" s="234">
        <v>160</v>
      </c>
      <c r="C7" s="235">
        <f>B7*'1st IA CTRs'!$F$5/$B$29</f>
        <v>154.8766418130757</v>
      </c>
      <c r="D7" s="235">
        <v>0</v>
      </c>
      <c r="E7" s="235">
        <v>0</v>
      </c>
      <c r="F7" s="235">
        <v>0</v>
      </c>
      <c r="G7" s="235">
        <v>0</v>
      </c>
      <c r="H7" s="235">
        <v>0</v>
      </c>
      <c r="I7" s="235">
        <v>0</v>
      </c>
      <c r="J7" s="235">
        <v>0</v>
      </c>
      <c r="K7" s="235">
        <v>0</v>
      </c>
      <c r="L7" s="40"/>
      <c r="M7" s="40"/>
      <c r="N7" s="40"/>
      <c r="O7" s="40"/>
      <c r="P7" s="40"/>
      <c r="Q7" s="34"/>
      <c r="R7" s="23"/>
      <c r="S7" s="23"/>
      <c r="T7" s="23"/>
      <c r="U7" s="23"/>
      <c r="V7" s="23"/>
    </row>
    <row r="8" spans="1:22" ht="12.75">
      <c r="A8" s="294" t="s">
        <v>96</v>
      </c>
      <c r="B8" s="234">
        <v>106</v>
      </c>
      <c r="C8" s="235">
        <f>B8*'1st IA CTRs'!$F$5/$B$29</f>
        <v>102.60577520116264</v>
      </c>
      <c r="D8" s="235">
        <v>0</v>
      </c>
      <c r="E8" s="235">
        <v>0</v>
      </c>
      <c r="F8" s="235">
        <v>0</v>
      </c>
      <c r="G8" s="235">
        <v>0</v>
      </c>
      <c r="H8" s="235">
        <v>0</v>
      </c>
      <c r="I8" s="235">
        <v>0</v>
      </c>
      <c r="J8" s="235">
        <v>0</v>
      </c>
      <c r="K8" s="235">
        <v>0</v>
      </c>
      <c r="L8" s="40"/>
      <c r="M8" s="40"/>
      <c r="N8" s="40"/>
      <c r="O8" s="40"/>
      <c r="P8" s="40"/>
      <c r="Q8" s="34"/>
      <c r="R8" s="23"/>
      <c r="S8" s="23"/>
      <c r="T8" s="23"/>
      <c r="U8" s="23"/>
      <c r="V8" s="23"/>
    </row>
    <row r="9" spans="1:22" ht="12.75">
      <c r="A9" s="294" t="s">
        <v>99</v>
      </c>
      <c r="B9" s="234">
        <v>117</v>
      </c>
      <c r="C9" s="235">
        <f>B9*'1st IA CTRs'!$F$5/$B$29</f>
        <v>113.25354432581162</v>
      </c>
      <c r="D9" s="235">
        <v>0</v>
      </c>
      <c r="E9" s="235">
        <v>0</v>
      </c>
      <c r="F9" s="235">
        <v>0</v>
      </c>
      <c r="G9" s="235">
        <v>0</v>
      </c>
      <c r="H9" s="235">
        <v>0</v>
      </c>
      <c r="I9" s="235">
        <v>0</v>
      </c>
      <c r="J9" s="235">
        <v>0</v>
      </c>
      <c r="K9" s="235">
        <v>0</v>
      </c>
      <c r="L9" s="40"/>
      <c r="M9" s="40"/>
      <c r="N9" s="40"/>
      <c r="O9" s="40"/>
      <c r="P9" s="40"/>
      <c r="Q9" s="34"/>
      <c r="R9" s="23"/>
      <c r="S9" s="23"/>
      <c r="T9" s="23"/>
      <c r="U9" s="23"/>
      <c r="V9" s="23"/>
    </row>
    <row r="10" spans="1:22" ht="25.5">
      <c r="A10" s="294" t="s">
        <v>100</v>
      </c>
      <c r="B10" s="234">
        <v>0</v>
      </c>
      <c r="C10" s="235">
        <f>B10*'1st IA CTRs'!$F$5/$B$29</f>
        <v>0</v>
      </c>
      <c r="D10" s="235">
        <v>898</v>
      </c>
      <c r="E10" s="235">
        <v>0</v>
      </c>
      <c r="F10" s="235">
        <v>68.9</v>
      </c>
      <c r="G10" s="235">
        <v>105.5</v>
      </c>
      <c r="H10" s="235">
        <v>0</v>
      </c>
      <c r="I10" s="235">
        <v>0</v>
      </c>
      <c r="J10" s="235">
        <v>0</v>
      </c>
      <c r="K10" s="235">
        <v>0</v>
      </c>
      <c r="L10" s="40"/>
      <c r="M10" s="40"/>
      <c r="N10" s="40"/>
      <c r="O10" s="40"/>
      <c r="P10" s="40"/>
      <c r="Q10" s="34"/>
      <c r="R10" s="23"/>
      <c r="S10" s="23"/>
      <c r="T10" s="23"/>
      <c r="U10" s="23"/>
      <c r="V10" s="23"/>
    </row>
    <row r="11" spans="1:22" ht="12.75">
      <c r="A11" s="294" t="s">
        <v>132</v>
      </c>
      <c r="B11" s="234">
        <v>339</v>
      </c>
      <c r="C11" s="235">
        <f>B11*'1st IA CTRs'!$F$5/$B$29</f>
        <v>328.14488484145414</v>
      </c>
      <c r="D11" s="235">
        <v>0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40"/>
      <c r="M11" s="40"/>
      <c r="N11" s="40"/>
      <c r="O11" s="40"/>
      <c r="P11" s="40"/>
      <c r="Q11" s="34"/>
      <c r="R11" s="23"/>
      <c r="S11" s="23"/>
      <c r="T11" s="23"/>
      <c r="U11" s="23"/>
      <c r="V11" s="23"/>
    </row>
    <row r="12" spans="1:22" ht="12.75">
      <c r="A12" s="294" t="s">
        <v>194</v>
      </c>
      <c r="B12" s="234">
        <v>0</v>
      </c>
      <c r="C12" s="235">
        <f>B12*'1st IA CTRs'!$F$5/$B$29</f>
        <v>0</v>
      </c>
      <c r="D12" s="235">
        <v>0</v>
      </c>
      <c r="E12" s="235">
        <v>256</v>
      </c>
      <c r="F12" s="235">
        <v>0</v>
      </c>
      <c r="G12" s="235">
        <v>0</v>
      </c>
      <c r="H12" s="235">
        <v>0</v>
      </c>
      <c r="I12" s="235">
        <v>0</v>
      </c>
      <c r="J12" s="235">
        <v>0</v>
      </c>
      <c r="K12" s="235">
        <v>0</v>
      </c>
      <c r="L12" s="40"/>
      <c r="M12" s="40"/>
      <c r="N12" s="40"/>
      <c r="O12" s="40"/>
      <c r="P12" s="40"/>
      <c r="Q12" s="34"/>
      <c r="R12" s="23"/>
      <c r="S12" s="23"/>
      <c r="T12" s="23"/>
      <c r="U12" s="23"/>
      <c r="V12" s="23"/>
    </row>
    <row r="13" spans="1:22" ht="12.75">
      <c r="A13" s="295" t="s">
        <v>193</v>
      </c>
      <c r="B13" s="236">
        <f aca="true" t="shared" si="0" ref="B13:H13">SUM(B7:B12)</f>
        <v>722</v>
      </c>
      <c r="C13" s="236">
        <f>SUM(C7:C12)</f>
        <v>698.8808461815041</v>
      </c>
      <c r="D13" s="237">
        <f t="shared" si="0"/>
        <v>898</v>
      </c>
      <c r="E13" s="237">
        <f t="shared" si="0"/>
        <v>256</v>
      </c>
      <c r="F13" s="237">
        <f t="shared" si="0"/>
        <v>68.9</v>
      </c>
      <c r="G13" s="237">
        <f t="shared" si="0"/>
        <v>105.5</v>
      </c>
      <c r="H13" s="237">
        <f t="shared" si="0"/>
        <v>0</v>
      </c>
      <c r="I13" s="237">
        <f>SUM(I7:I12)</f>
        <v>0</v>
      </c>
      <c r="J13" s="237">
        <f>SUM(J7:J12)</f>
        <v>0</v>
      </c>
      <c r="K13" s="237">
        <f>SUM(K7:K12)</f>
        <v>0</v>
      </c>
      <c r="L13" s="40"/>
      <c r="M13" s="40"/>
      <c r="N13" s="40"/>
      <c r="O13" s="40"/>
      <c r="P13" s="40"/>
      <c r="Q13" s="34"/>
      <c r="R13" s="23"/>
      <c r="S13" s="23"/>
      <c r="T13" s="23"/>
      <c r="U13" s="23"/>
      <c r="V13" s="23"/>
    </row>
    <row r="14" spans="1:22" ht="12.75">
      <c r="A14" s="162" t="s">
        <v>170</v>
      </c>
      <c r="B14" s="234" t="s">
        <v>24</v>
      </c>
      <c r="C14" s="234" t="s">
        <v>24</v>
      </c>
      <c r="D14" s="235"/>
      <c r="E14" s="235"/>
      <c r="F14" s="235"/>
      <c r="G14" s="235"/>
      <c r="H14" s="235"/>
      <c r="I14" s="235"/>
      <c r="J14" s="235"/>
      <c r="K14" s="235"/>
      <c r="L14" s="176"/>
      <c r="M14" s="69"/>
      <c r="N14" s="69"/>
      <c r="O14" s="69"/>
      <c r="P14" s="176"/>
      <c r="Q14" s="34"/>
      <c r="R14" s="23"/>
      <c r="S14" s="23"/>
      <c r="T14" s="23"/>
      <c r="U14" s="23"/>
      <c r="V14" s="23"/>
    </row>
    <row r="15" spans="1:22" ht="25.5">
      <c r="A15" s="294" t="s">
        <v>220</v>
      </c>
      <c r="B15" s="234">
        <v>16</v>
      </c>
      <c r="C15" s="235">
        <f>B15*'1st IA CTRs'!$F$5/$B$29</f>
        <v>15.48766418130757</v>
      </c>
      <c r="D15" s="235">
        <v>0</v>
      </c>
      <c r="E15" s="235">
        <v>237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124</v>
      </c>
      <c r="L15" s="243" t="s">
        <v>24</v>
      </c>
      <c r="M15" s="69"/>
      <c r="N15" s="69"/>
      <c r="O15" s="69"/>
      <c r="P15" s="176"/>
      <c r="Q15" s="34"/>
      <c r="R15" s="23"/>
      <c r="S15" s="23"/>
      <c r="T15" s="23"/>
      <c r="U15" s="23"/>
      <c r="V15" s="23"/>
    </row>
    <row r="16" spans="1:22" ht="25.5">
      <c r="A16" s="294" t="s">
        <v>126</v>
      </c>
      <c r="B16" s="234">
        <v>0</v>
      </c>
      <c r="C16" s="235">
        <f>B16*'1st IA CTRs'!$F$5/$B$29</f>
        <v>0</v>
      </c>
      <c r="D16" s="235">
        <v>0</v>
      </c>
      <c r="E16" s="235">
        <v>0</v>
      </c>
      <c r="F16" s="235">
        <v>340.2</v>
      </c>
      <c r="G16" s="235">
        <v>494.5</v>
      </c>
      <c r="H16" s="235">
        <v>0</v>
      </c>
      <c r="I16" s="235">
        <v>0</v>
      </c>
      <c r="J16" s="235">
        <v>0</v>
      </c>
      <c r="K16" s="235">
        <v>0</v>
      </c>
      <c r="L16" s="176"/>
      <c r="M16" s="69"/>
      <c r="N16" s="69"/>
      <c r="O16" s="69"/>
      <c r="P16" s="176"/>
      <c r="Q16" s="34"/>
      <c r="R16" s="23"/>
      <c r="S16" s="23"/>
      <c r="T16" s="23"/>
      <c r="U16" s="23"/>
      <c r="V16" s="23"/>
    </row>
    <row r="17" spans="1:22" ht="25.5">
      <c r="A17" s="294" t="s">
        <v>97</v>
      </c>
      <c r="B17" s="234">
        <v>0</v>
      </c>
      <c r="C17" s="235">
        <f>B17*'1st IA CTRs'!$F$5/$B$29</f>
        <v>0</v>
      </c>
      <c r="D17" s="235">
        <v>0</v>
      </c>
      <c r="E17" s="235">
        <v>0</v>
      </c>
      <c r="F17" s="235">
        <v>90.3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176"/>
      <c r="M17" s="69"/>
      <c r="N17" s="69"/>
      <c r="O17" s="69"/>
      <c r="P17" s="176"/>
      <c r="Q17" s="34"/>
      <c r="R17" s="23"/>
      <c r="S17" s="23"/>
      <c r="T17" s="23"/>
      <c r="U17" s="23"/>
      <c r="V17" s="23"/>
    </row>
    <row r="18" spans="1:22" ht="25.5">
      <c r="A18" s="294" t="s">
        <v>232</v>
      </c>
      <c r="B18" s="234">
        <v>0</v>
      </c>
      <c r="C18" s="235">
        <f>B18*'1st IA CTRs'!$F$5/$B$29</f>
        <v>0</v>
      </c>
      <c r="D18" s="235">
        <v>0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182</v>
      </c>
      <c r="L18" s="176"/>
      <c r="M18" s="69"/>
      <c r="N18" s="69"/>
      <c r="O18" s="69"/>
      <c r="P18" s="176"/>
      <c r="Q18" s="34"/>
      <c r="R18" s="23"/>
      <c r="S18" s="23"/>
      <c r="T18" s="23"/>
      <c r="U18" s="23"/>
      <c r="V18" s="23"/>
    </row>
    <row r="19" spans="1:22" ht="25.5">
      <c r="A19" s="294" t="s">
        <v>195</v>
      </c>
      <c r="B19" s="234">
        <v>0</v>
      </c>
      <c r="C19" s="235">
        <f>B19*'1st IA CTRs'!$F$5/$B$29</f>
        <v>0</v>
      </c>
      <c r="D19" s="235">
        <v>0</v>
      </c>
      <c r="E19" s="235">
        <v>551</v>
      </c>
      <c r="F19" s="235">
        <v>0</v>
      </c>
      <c r="G19" s="235">
        <v>0</v>
      </c>
      <c r="H19" s="235">
        <v>0</v>
      </c>
      <c r="I19" s="235">
        <v>0</v>
      </c>
      <c r="J19" s="235">
        <v>315</v>
      </c>
      <c r="K19" s="235">
        <v>0</v>
      </c>
      <c r="L19" s="176"/>
      <c r="M19" s="69"/>
      <c r="N19" s="69"/>
      <c r="O19" s="69"/>
      <c r="P19" s="176"/>
      <c r="Q19" s="34"/>
      <c r="R19" s="23"/>
      <c r="S19" s="23"/>
      <c r="T19" s="23"/>
      <c r="U19" s="23"/>
      <c r="V19" s="23"/>
    </row>
    <row r="20" spans="1:22" ht="12.75">
      <c r="A20" s="295" t="s">
        <v>104</v>
      </c>
      <c r="B20" s="236">
        <f aca="true" t="shared" si="1" ref="B20:H20">SUM(B15:B19)</f>
        <v>16</v>
      </c>
      <c r="C20" s="236">
        <f>SUM(C15:C19)</f>
        <v>15.48766418130757</v>
      </c>
      <c r="D20" s="237">
        <f t="shared" si="1"/>
        <v>0</v>
      </c>
      <c r="E20" s="237">
        <f>SUM(E15:E19)</f>
        <v>788</v>
      </c>
      <c r="F20" s="237">
        <f>SUM(F15:F19)</f>
        <v>430.5</v>
      </c>
      <c r="G20" s="237">
        <f>SUM(G15:G19)</f>
        <v>494.5</v>
      </c>
      <c r="H20" s="237">
        <f t="shared" si="1"/>
        <v>0</v>
      </c>
      <c r="I20" s="237">
        <f>SUM(I15:I19)</f>
        <v>0</v>
      </c>
      <c r="J20" s="237">
        <f>SUM(J15:J19)</f>
        <v>315</v>
      </c>
      <c r="K20" s="237">
        <f>SUM(K15:K19)</f>
        <v>306</v>
      </c>
      <c r="L20" s="176"/>
      <c r="M20" s="69"/>
      <c r="N20" s="69"/>
      <c r="O20" s="69"/>
      <c r="P20" s="176"/>
      <c r="Q20" s="34"/>
      <c r="R20" s="23"/>
      <c r="S20" s="23"/>
      <c r="T20" s="23"/>
      <c r="U20" s="23"/>
      <c r="V20" s="23"/>
    </row>
    <row r="21" spans="1:22" ht="12.75">
      <c r="A21" s="162" t="s">
        <v>80</v>
      </c>
      <c r="B21" s="238"/>
      <c r="C21" s="238"/>
      <c r="D21" s="239"/>
      <c r="E21" s="239"/>
      <c r="F21" s="239"/>
      <c r="G21" s="239"/>
      <c r="H21" s="239"/>
      <c r="I21" s="239"/>
      <c r="J21" s="239"/>
      <c r="K21" s="239"/>
      <c r="L21" s="176"/>
      <c r="M21" s="69"/>
      <c r="N21" s="69"/>
      <c r="O21" s="69"/>
      <c r="P21" s="176"/>
      <c r="Q21" s="34"/>
      <c r="R21" s="23"/>
      <c r="S21" s="23"/>
      <c r="T21" s="23"/>
      <c r="U21" s="23"/>
      <c r="V21" s="23"/>
    </row>
    <row r="22" spans="1:22" ht="25.5">
      <c r="A22" s="294" t="s">
        <v>98</v>
      </c>
      <c r="B22" s="234">
        <v>159</v>
      </c>
      <c r="C22" s="235">
        <f>B22*'1st IA CTRs'!$F$5/$B$29</f>
        <v>153.90866280174396</v>
      </c>
      <c r="D22" s="235">
        <v>0</v>
      </c>
      <c r="E22" s="235">
        <v>0</v>
      </c>
      <c r="F22" s="235">
        <v>0</v>
      </c>
      <c r="G22" s="235">
        <v>0</v>
      </c>
      <c r="H22" s="235">
        <v>0</v>
      </c>
      <c r="I22" s="235">
        <v>0</v>
      </c>
      <c r="J22" s="235">
        <v>0</v>
      </c>
      <c r="K22" s="235">
        <v>0</v>
      </c>
      <c r="L22" s="176"/>
      <c r="M22" s="69"/>
      <c r="N22" s="69"/>
      <c r="O22" s="69"/>
      <c r="P22" s="176"/>
      <c r="Q22" s="34"/>
      <c r="R22" s="23"/>
      <c r="S22" s="23"/>
      <c r="T22" s="23"/>
      <c r="U22" s="23"/>
      <c r="V22" s="23"/>
    </row>
    <row r="23" spans="1:22" ht="25.5">
      <c r="A23" s="294" t="s">
        <v>233</v>
      </c>
      <c r="B23" s="234">
        <v>0</v>
      </c>
      <c r="C23" s="235">
        <f>B23*'1st IA CTRs'!$F$5/$B$29</f>
        <v>0</v>
      </c>
      <c r="D23" s="235">
        <v>0</v>
      </c>
      <c r="E23" s="235">
        <v>0</v>
      </c>
      <c r="F23" s="235">
        <v>0</v>
      </c>
      <c r="G23" s="235">
        <v>0</v>
      </c>
      <c r="H23" s="235">
        <v>37</v>
      </c>
      <c r="I23" s="235">
        <f>H23*'BRA CTRs'!$F$9/$H$29</f>
        <v>0</v>
      </c>
      <c r="J23" s="235">
        <v>0</v>
      </c>
      <c r="K23" s="235">
        <v>0</v>
      </c>
      <c r="L23" s="176"/>
      <c r="M23" s="69"/>
      <c r="N23" s="69"/>
      <c r="O23" s="69"/>
      <c r="P23" s="176"/>
      <c r="Q23" s="34"/>
      <c r="R23" s="23"/>
      <c r="S23" s="23"/>
      <c r="T23" s="23"/>
      <c r="U23" s="23"/>
      <c r="V23" s="23"/>
    </row>
    <row r="24" spans="1:22" ht="25.5">
      <c r="A24" s="294" t="s">
        <v>234</v>
      </c>
      <c r="B24" s="234">
        <v>0</v>
      </c>
      <c r="C24" s="235">
        <f>B24*'1st IA CTRs'!$F$5/$B$29</f>
        <v>0</v>
      </c>
      <c r="D24" s="235">
        <v>0</v>
      </c>
      <c r="E24" s="240">
        <v>0</v>
      </c>
      <c r="F24" s="240">
        <v>0</v>
      </c>
      <c r="G24" s="240">
        <v>0</v>
      </c>
      <c r="H24" s="240">
        <v>35</v>
      </c>
      <c r="I24" s="235">
        <f>H24*'BRA CTRs'!$F$9/$H$29</f>
        <v>0</v>
      </c>
      <c r="J24" s="240">
        <v>0</v>
      </c>
      <c r="K24" s="235">
        <v>0</v>
      </c>
      <c r="L24" s="176"/>
      <c r="M24" s="69"/>
      <c r="N24" s="69"/>
      <c r="O24" s="69"/>
      <c r="P24" s="176"/>
      <c r="Q24" s="34"/>
      <c r="R24" s="23"/>
      <c r="S24" s="23"/>
      <c r="T24" s="23"/>
      <c r="U24" s="23"/>
      <c r="V24" s="23"/>
    </row>
    <row r="25" spans="1:22" ht="12.75">
      <c r="A25" s="294" t="s">
        <v>235</v>
      </c>
      <c r="B25" s="234">
        <v>733</v>
      </c>
      <c r="C25" s="235">
        <f>B25*'1st IA CTRs'!$F$5/$B$29</f>
        <v>709.5286153061529</v>
      </c>
      <c r="D25" s="235">
        <v>0</v>
      </c>
      <c r="E25" s="240">
        <v>0</v>
      </c>
      <c r="F25" s="240">
        <v>0</v>
      </c>
      <c r="G25" s="240">
        <v>0</v>
      </c>
      <c r="H25" s="240">
        <v>0</v>
      </c>
      <c r="I25" s="235">
        <f>H25*'BRA CTRs'!$F$9/$H$29</f>
        <v>0</v>
      </c>
      <c r="J25" s="240">
        <v>0</v>
      </c>
      <c r="K25" s="235">
        <v>0</v>
      </c>
      <c r="L25" s="176"/>
      <c r="M25" s="69"/>
      <c r="N25" s="69"/>
      <c r="O25" s="69"/>
      <c r="P25" s="176"/>
      <c r="Q25" s="34"/>
      <c r="R25" s="23"/>
      <c r="S25" s="23"/>
      <c r="T25" s="23"/>
      <c r="U25" s="23"/>
      <c r="V25" s="23"/>
    </row>
    <row r="26" spans="1:22" ht="12.75">
      <c r="A26" s="294" t="s">
        <v>231</v>
      </c>
      <c r="B26" s="234">
        <v>0</v>
      </c>
      <c r="C26" s="235">
        <f>B26*'1st IA CTRs'!$F$5/$B$29</f>
        <v>0</v>
      </c>
      <c r="D26" s="235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35">
        <v>65.7</v>
      </c>
      <c r="L26" s="176"/>
      <c r="M26" s="69"/>
      <c r="N26" s="69"/>
      <c r="O26" s="69"/>
      <c r="P26" s="176"/>
      <c r="Q26" s="34"/>
      <c r="R26" s="23"/>
      <c r="S26" s="23"/>
      <c r="T26" s="23"/>
      <c r="U26" s="23"/>
      <c r="V26" s="23"/>
    </row>
    <row r="27" spans="1:22" ht="12.75">
      <c r="A27" s="295" t="s">
        <v>86</v>
      </c>
      <c r="B27" s="236">
        <f aca="true" t="shared" si="2" ref="B27:K27">SUM(B22:B26)</f>
        <v>892</v>
      </c>
      <c r="C27" s="236">
        <f t="shared" si="2"/>
        <v>863.4372781078969</v>
      </c>
      <c r="D27" s="241">
        <f t="shared" si="2"/>
        <v>0</v>
      </c>
      <c r="E27" s="236">
        <f t="shared" si="2"/>
        <v>0</v>
      </c>
      <c r="F27" s="236">
        <f t="shared" si="2"/>
        <v>0</v>
      </c>
      <c r="G27" s="236">
        <f t="shared" si="2"/>
        <v>0</v>
      </c>
      <c r="H27" s="236">
        <f t="shared" si="2"/>
        <v>72</v>
      </c>
      <c r="I27" s="236">
        <f t="shared" si="2"/>
        <v>0</v>
      </c>
      <c r="J27" s="236">
        <f t="shared" si="2"/>
        <v>0</v>
      </c>
      <c r="K27" s="241">
        <f t="shared" si="2"/>
        <v>65.7</v>
      </c>
      <c r="L27" s="176"/>
      <c r="M27" s="69"/>
      <c r="N27" s="69"/>
      <c r="O27" s="69"/>
      <c r="P27" s="176"/>
      <c r="Q27" s="34"/>
      <c r="R27" s="23"/>
      <c r="S27" s="23"/>
      <c r="T27" s="23"/>
      <c r="U27" s="23"/>
      <c r="V27" s="23"/>
    </row>
    <row r="28" spans="1:22" ht="12.75">
      <c r="A28" s="296"/>
      <c r="B28" s="234"/>
      <c r="C28" s="234"/>
      <c r="D28" s="233"/>
      <c r="E28" s="233"/>
      <c r="F28" s="233"/>
      <c r="G28" s="233"/>
      <c r="H28" s="233"/>
      <c r="I28" s="233"/>
      <c r="J28" s="233"/>
      <c r="K28" s="233"/>
      <c r="L28" s="176"/>
      <c r="M28" s="69"/>
      <c r="N28" s="69"/>
      <c r="O28" s="69"/>
      <c r="P28" s="176"/>
      <c r="Q28" s="34"/>
      <c r="R28" s="23"/>
      <c r="S28" s="23"/>
      <c r="T28" s="23"/>
      <c r="U28" s="23"/>
      <c r="V28" s="23"/>
    </row>
    <row r="29" spans="1:22" ht="12.75" customHeight="1" thickBot="1">
      <c r="A29" s="297" t="s">
        <v>87</v>
      </c>
      <c r="B29" s="298">
        <f>B13+B20+B27</f>
        <v>1630</v>
      </c>
      <c r="C29" s="298">
        <f>C13+C20+C27</f>
        <v>1577.8057884707086</v>
      </c>
      <c r="D29" s="242">
        <f aca="true" t="shared" si="3" ref="D29:J29">D13+D20+D27</f>
        <v>898</v>
      </c>
      <c r="E29" s="242">
        <f t="shared" si="3"/>
        <v>1044</v>
      </c>
      <c r="F29" s="242">
        <f t="shared" si="3"/>
        <v>499.4</v>
      </c>
      <c r="G29" s="242">
        <f t="shared" si="3"/>
        <v>600</v>
      </c>
      <c r="H29" s="242">
        <f t="shared" si="3"/>
        <v>72</v>
      </c>
      <c r="I29" s="242">
        <f t="shared" si="3"/>
        <v>0</v>
      </c>
      <c r="J29" s="242">
        <f t="shared" si="3"/>
        <v>315</v>
      </c>
      <c r="K29" s="242">
        <f>K13+K20+K27</f>
        <v>371.7</v>
      </c>
      <c r="L29" s="40"/>
      <c r="M29" s="177"/>
      <c r="N29" s="177"/>
      <c r="O29" s="177"/>
      <c r="P29" s="40"/>
      <c r="Q29" s="34"/>
      <c r="R29" s="23"/>
      <c r="S29" s="23"/>
      <c r="T29" s="23"/>
      <c r="U29" s="23"/>
      <c r="V29" s="23"/>
    </row>
    <row r="30" spans="1:31" ht="12.75">
      <c r="A30" s="645" t="s">
        <v>117</v>
      </c>
      <c r="B30" s="646"/>
      <c r="C30" s="646"/>
      <c r="D30" s="646"/>
      <c r="E30" s="646"/>
      <c r="F30" s="646"/>
      <c r="G30" s="646"/>
      <c r="H30" s="646"/>
      <c r="I30" s="646"/>
      <c r="J30" s="646"/>
      <c r="K30" s="646"/>
      <c r="L30" s="492"/>
      <c r="M30" s="178"/>
      <c r="N30" s="36"/>
      <c r="O30" s="34"/>
      <c r="P30" s="34"/>
      <c r="Q30" s="34"/>
      <c r="R30" s="34"/>
      <c r="S30" s="34"/>
      <c r="T30" s="34"/>
      <c r="U30" s="34"/>
      <c r="V30" s="34"/>
      <c r="W30" s="34"/>
      <c r="X30" s="15"/>
      <c r="Y30" s="15"/>
      <c r="Z30" s="15"/>
      <c r="AA30" s="15"/>
      <c r="AB30" s="15"/>
      <c r="AC30" s="15"/>
      <c r="AD30" s="15"/>
      <c r="AE30" s="15"/>
    </row>
    <row r="31" spans="1:31" ht="12.75">
      <c r="A31" s="25"/>
      <c r="B31" s="179"/>
      <c r="C31" s="179"/>
      <c r="D31" s="42"/>
      <c r="E31" s="178"/>
      <c r="F31" s="178"/>
      <c r="G31" s="178"/>
      <c r="H31" s="178"/>
      <c r="I31" s="178"/>
      <c r="J31" s="36"/>
      <c r="K31" s="178"/>
      <c r="L31" s="178"/>
      <c r="M31" s="178"/>
      <c r="N31" s="36"/>
      <c r="O31" s="34"/>
      <c r="P31" s="34"/>
      <c r="Q31" s="34"/>
      <c r="R31" s="34"/>
      <c r="S31" s="34"/>
      <c r="T31" s="34"/>
      <c r="U31" s="34"/>
      <c r="V31" s="34"/>
      <c r="W31" s="34"/>
      <c r="X31" s="15"/>
      <c r="Y31" s="15"/>
      <c r="Z31" s="15"/>
      <c r="AA31" s="15"/>
      <c r="AB31" s="15"/>
      <c r="AC31" s="15"/>
      <c r="AD31" s="15"/>
      <c r="AE31" s="15"/>
    </row>
    <row r="32" spans="1:31" ht="12.75">
      <c r="A32" s="180"/>
      <c r="B32" s="179"/>
      <c r="C32" s="179"/>
      <c r="D32" s="42"/>
      <c r="E32" s="178"/>
      <c r="F32" s="178"/>
      <c r="G32" s="178"/>
      <c r="H32" s="178"/>
      <c r="I32" s="178"/>
      <c r="J32" s="36"/>
      <c r="K32" s="178"/>
      <c r="L32" s="178"/>
      <c r="M32" s="178"/>
      <c r="N32" s="36"/>
      <c r="O32" s="34"/>
      <c r="P32" s="34"/>
      <c r="Q32" s="34"/>
      <c r="R32" s="34"/>
      <c r="S32" s="34"/>
      <c r="T32" s="34"/>
      <c r="U32" s="34"/>
      <c r="V32" s="34"/>
      <c r="W32" s="34"/>
      <c r="X32" s="15"/>
      <c r="Y32" s="15"/>
      <c r="Z32" s="15"/>
      <c r="AA32" s="15"/>
      <c r="AB32" s="15"/>
      <c r="AC32" s="15"/>
      <c r="AD32" s="15"/>
      <c r="AE32" s="15"/>
    </row>
    <row r="33" spans="1:23" ht="31.5">
      <c r="A33" s="247" t="s">
        <v>105</v>
      </c>
      <c r="B33" s="181" t="s">
        <v>24</v>
      </c>
      <c r="C33" s="181" t="s">
        <v>24</v>
      </c>
      <c r="D33" s="73"/>
      <c r="E33" s="178"/>
      <c r="F33" s="178"/>
      <c r="G33" s="178"/>
      <c r="H33" s="178"/>
      <c r="I33" s="309"/>
      <c r="J33" s="301"/>
      <c r="K33" s="301"/>
      <c r="L33" s="302"/>
      <c r="M33" s="178"/>
      <c r="N33" s="36"/>
      <c r="O33" s="23"/>
      <c r="P33" s="23"/>
      <c r="Q33" s="23"/>
      <c r="R33" s="23"/>
      <c r="S33" s="23"/>
      <c r="T33" s="23"/>
      <c r="U33" s="23"/>
      <c r="V33" s="23"/>
      <c r="W33" s="23"/>
    </row>
    <row r="34" spans="1:23" ht="39" thickBot="1">
      <c r="A34" s="248" t="s">
        <v>62</v>
      </c>
      <c r="B34" s="494" t="s">
        <v>197</v>
      </c>
      <c r="C34" s="311" t="s">
        <v>106</v>
      </c>
      <c r="D34" s="156" t="s">
        <v>107</v>
      </c>
      <c r="E34" s="156" t="s">
        <v>108</v>
      </c>
      <c r="F34" s="311" t="s">
        <v>149</v>
      </c>
      <c r="G34" s="311" t="s">
        <v>196</v>
      </c>
      <c r="H34" s="245" t="s">
        <v>24</v>
      </c>
      <c r="I34" s="304" t="s">
        <v>24</v>
      </c>
      <c r="J34" s="305"/>
      <c r="K34" s="306"/>
      <c r="L34" s="306"/>
      <c r="M34" s="178"/>
      <c r="N34" s="36"/>
      <c r="O34" s="23"/>
      <c r="P34" s="23"/>
      <c r="Q34" s="23"/>
      <c r="R34" s="23"/>
      <c r="S34" s="23"/>
      <c r="T34" s="23"/>
      <c r="U34" s="23"/>
      <c r="V34" s="23"/>
      <c r="W34" s="23"/>
    </row>
    <row r="35" spans="1:23" ht="12.75">
      <c r="A35" s="505" t="s">
        <v>16</v>
      </c>
      <c r="B35" s="513">
        <v>0.017</v>
      </c>
      <c r="C35" s="508">
        <v>0.09</v>
      </c>
      <c r="D35" s="508">
        <v>0.0023</v>
      </c>
      <c r="E35" s="508">
        <v>0</v>
      </c>
      <c r="F35" s="508">
        <v>0</v>
      </c>
      <c r="G35" s="511">
        <v>0</v>
      </c>
      <c r="H35" s="246"/>
      <c r="I35" s="7" t="s">
        <v>24</v>
      </c>
      <c r="J35" s="307"/>
      <c r="K35" s="307"/>
      <c r="L35" s="307"/>
      <c r="M35" s="178"/>
      <c r="N35" s="36"/>
      <c r="O35" s="23"/>
      <c r="P35" s="23"/>
      <c r="Q35" s="23"/>
      <c r="R35" s="23"/>
      <c r="S35" s="23"/>
      <c r="T35" s="23"/>
      <c r="U35" s="23"/>
      <c r="V35" s="23"/>
      <c r="W35" s="23"/>
    </row>
    <row r="36" spans="1:23" ht="12.75">
      <c r="A36" s="506" t="s">
        <v>30</v>
      </c>
      <c r="B36" s="514">
        <v>0.1425</v>
      </c>
      <c r="C36" s="509">
        <v>0</v>
      </c>
      <c r="D36" s="509">
        <v>0</v>
      </c>
      <c r="E36" s="509">
        <v>0</v>
      </c>
      <c r="F36" s="509">
        <v>0</v>
      </c>
      <c r="G36" s="502">
        <v>0</v>
      </c>
      <c r="H36" s="246"/>
      <c r="I36" s="7" t="s">
        <v>24</v>
      </c>
      <c r="J36" s="307"/>
      <c r="K36" s="307"/>
      <c r="L36" s="307"/>
      <c r="M36" s="178"/>
      <c r="N36" s="36"/>
      <c r="O36" s="23"/>
      <c r="P36" s="23"/>
      <c r="Q36" s="23"/>
      <c r="R36" s="23"/>
      <c r="S36" s="23"/>
      <c r="T36" s="23"/>
      <c r="U36" s="23"/>
      <c r="V36" s="23"/>
      <c r="W36" s="23"/>
    </row>
    <row r="37" spans="1:23" ht="12.75">
      <c r="A37" s="506" t="s">
        <v>19</v>
      </c>
      <c r="B37" s="514">
        <v>0.0553</v>
      </c>
      <c r="C37" s="509">
        <v>0</v>
      </c>
      <c r="D37" s="509">
        <v>0</v>
      </c>
      <c r="E37" s="509">
        <v>0</v>
      </c>
      <c r="F37" s="509">
        <v>0.0442</v>
      </c>
      <c r="G37" s="502">
        <v>0</v>
      </c>
      <c r="H37" s="246"/>
      <c r="I37" s="7" t="s">
        <v>24</v>
      </c>
      <c r="J37" s="307"/>
      <c r="K37" s="307"/>
      <c r="L37" s="307"/>
      <c r="M37" s="178"/>
      <c r="N37" s="36"/>
      <c r="O37" s="23"/>
      <c r="P37" s="23"/>
      <c r="Q37" s="23"/>
      <c r="R37" s="23"/>
      <c r="S37" s="23"/>
      <c r="T37" s="23"/>
      <c r="U37" s="23"/>
      <c r="V37" s="23"/>
      <c r="W37" s="23"/>
    </row>
    <row r="38" spans="1:31" ht="12.75">
      <c r="A38" s="506" t="s">
        <v>45</v>
      </c>
      <c r="B38" s="514">
        <v>0.0809</v>
      </c>
      <c r="C38" s="509">
        <v>0</v>
      </c>
      <c r="D38" s="509">
        <v>0</v>
      </c>
      <c r="E38" s="509">
        <v>0</v>
      </c>
      <c r="F38" s="509">
        <v>0</v>
      </c>
      <c r="G38" s="502">
        <v>0</v>
      </c>
      <c r="H38" s="246"/>
      <c r="I38" s="7" t="s">
        <v>24</v>
      </c>
      <c r="J38" s="307"/>
      <c r="K38" s="307"/>
      <c r="L38" s="307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15"/>
      <c r="Y38" s="15"/>
      <c r="Z38" s="15"/>
      <c r="AA38" s="15"/>
      <c r="AB38" s="15"/>
      <c r="AC38" s="15"/>
      <c r="AD38" s="15"/>
      <c r="AE38" s="15"/>
    </row>
    <row r="39" spans="1:31" ht="12.75">
      <c r="A39" s="506" t="s">
        <v>11</v>
      </c>
      <c r="B39" s="514">
        <v>0.0419</v>
      </c>
      <c r="C39" s="509">
        <v>0</v>
      </c>
      <c r="D39" s="509">
        <v>0.0097</v>
      </c>
      <c r="E39" s="509">
        <v>0</v>
      </c>
      <c r="F39" s="509">
        <v>0.6695</v>
      </c>
      <c r="G39" s="502">
        <v>0</v>
      </c>
      <c r="H39" s="246"/>
      <c r="I39" s="7" t="s">
        <v>24</v>
      </c>
      <c r="J39" s="307"/>
      <c r="K39" s="307"/>
      <c r="L39" s="307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15"/>
      <c r="Y39" s="15"/>
      <c r="Z39" s="15"/>
      <c r="AA39" s="15"/>
      <c r="AB39" s="15"/>
      <c r="AC39" s="15"/>
      <c r="AD39" s="15"/>
      <c r="AE39" s="15"/>
    </row>
    <row r="40" spans="1:31" ht="12.75">
      <c r="A40" s="506" t="s">
        <v>325</v>
      </c>
      <c r="B40" s="514">
        <v>0.1343</v>
      </c>
      <c r="C40" s="509">
        <v>0</v>
      </c>
      <c r="D40" s="509">
        <v>0.0232</v>
      </c>
      <c r="E40" s="509">
        <v>0</v>
      </c>
      <c r="F40" s="509">
        <v>0.0412</v>
      </c>
      <c r="G40" s="502">
        <v>0</v>
      </c>
      <c r="H40" s="246"/>
      <c r="I40" s="7"/>
      <c r="J40" s="307"/>
      <c r="K40" s="307"/>
      <c r="L40" s="307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15"/>
      <c r="Y40" s="15"/>
      <c r="Z40" s="15"/>
      <c r="AA40" s="15"/>
      <c r="AB40" s="15"/>
      <c r="AC40" s="15"/>
      <c r="AD40" s="15"/>
      <c r="AE40" s="15"/>
    </row>
    <row r="41" spans="1:23" ht="12.75">
      <c r="A41" s="506" t="s">
        <v>118</v>
      </c>
      <c r="B41" s="514">
        <v>0</v>
      </c>
      <c r="C41" s="509">
        <v>0</v>
      </c>
      <c r="D41" s="509">
        <v>0</v>
      </c>
      <c r="E41" s="509">
        <v>0</v>
      </c>
      <c r="F41" s="509">
        <v>0</v>
      </c>
      <c r="G41" s="502">
        <v>0</v>
      </c>
      <c r="H41" s="246" t="s">
        <v>24</v>
      </c>
      <c r="I41" s="7" t="s">
        <v>24</v>
      </c>
      <c r="J41" s="307"/>
      <c r="K41" s="307"/>
      <c r="L41" s="307"/>
      <c r="M41" s="34"/>
      <c r="N41" s="34"/>
      <c r="O41" s="23"/>
      <c r="P41" s="23"/>
      <c r="Q41" s="23"/>
      <c r="R41" s="23"/>
      <c r="S41" s="23"/>
      <c r="T41" s="23"/>
      <c r="U41" s="23"/>
      <c r="V41" s="23"/>
      <c r="W41" s="23"/>
    </row>
    <row r="42" spans="1:23" ht="12.75">
      <c r="A42" s="506" t="s">
        <v>326</v>
      </c>
      <c r="B42" s="514">
        <v>0.0212</v>
      </c>
      <c r="C42" s="509">
        <v>0</v>
      </c>
      <c r="D42" s="509">
        <v>0.0013</v>
      </c>
      <c r="E42" s="509">
        <v>0</v>
      </c>
      <c r="F42" s="509">
        <v>0.0049</v>
      </c>
      <c r="G42" s="502">
        <v>0</v>
      </c>
      <c r="H42" s="246"/>
      <c r="I42" s="7" t="s">
        <v>24</v>
      </c>
      <c r="J42" s="307"/>
      <c r="K42" s="307"/>
      <c r="L42" s="307"/>
      <c r="M42" s="34"/>
      <c r="N42" s="34"/>
      <c r="O42" s="23"/>
      <c r="P42" s="23"/>
      <c r="Q42" s="23"/>
      <c r="R42" s="23"/>
      <c r="S42" s="23"/>
      <c r="T42" s="23"/>
      <c r="U42" s="23"/>
      <c r="V42" s="23"/>
      <c r="W42" s="23"/>
    </row>
    <row r="43" spans="1:23" ht="12.75">
      <c r="A43" s="506" t="s">
        <v>327</v>
      </c>
      <c r="B43" s="514">
        <v>0.0337</v>
      </c>
      <c r="C43" s="509">
        <v>0</v>
      </c>
      <c r="D43" s="509">
        <v>0</v>
      </c>
      <c r="E43" s="509">
        <v>0</v>
      </c>
      <c r="F43" s="509">
        <v>0</v>
      </c>
      <c r="G43" s="502">
        <v>0</v>
      </c>
      <c r="H43" s="246"/>
      <c r="I43" s="7" t="s">
        <v>24</v>
      </c>
      <c r="J43" s="307"/>
      <c r="K43" s="307"/>
      <c r="L43" s="307"/>
      <c r="M43" s="34"/>
      <c r="N43" s="34"/>
      <c r="O43" s="23"/>
      <c r="P43" s="23"/>
      <c r="Q43" s="23"/>
      <c r="R43" s="23"/>
      <c r="S43" s="23"/>
      <c r="T43" s="23"/>
      <c r="U43" s="23"/>
      <c r="V43" s="23"/>
      <c r="W43" s="23"/>
    </row>
    <row r="44" spans="1:23" ht="12.75">
      <c r="A44" s="506" t="s">
        <v>328</v>
      </c>
      <c r="B44" s="514">
        <v>0.0177</v>
      </c>
      <c r="C44" s="509">
        <v>0</v>
      </c>
      <c r="D44" s="509">
        <v>0</v>
      </c>
      <c r="E44" s="509">
        <v>0</v>
      </c>
      <c r="F44" s="509">
        <v>0</v>
      </c>
      <c r="G44" s="502">
        <v>0</v>
      </c>
      <c r="H44" s="246"/>
      <c r="I44" s="7" t="s">
        <v>24</v>
      </c>
      <c r="J44" s="307"/>
      <c r="K44" s="307"/>
      <c r="L44" s="307"/>
      <c r="M44" s="34"/>
      <c r="N44" s="34"/>
      <c r="O44" s="23"/>
      <c r="P44" s="23"/>
      <c r="Q44" s="23"/>
      <c r="R44" s="23"/>
      <c r="S44" s="23"/>
      <c r="T44" s="23"/>
      <c r="U44" s="23"/>
      <c r="V44" s="23"/>
      <c r="W44" s="23"/>
    </row>
    <row r="45" spans="1:23" ht="12.75">
      <c r="A45" s="506" t="s">
        <v>329</v>
      </c>
      <c r="B45" s="514">
        <v>0.0262</v>
      </c>
      <c r="C45" s="509">
        <v>0.1685</v>
      </c>
      <c r="D45" s="509">
        <v>0</v>
      </c>
      <c r="E45" s="509">
        <v>0</v>
      </c>
      <c r="F45" s="509">
        <v>0</v>
      </c>
      <c r="G45" s="502">
        <v>0</v>
      </c>
      <c r="H45" s="246"/>
      <c r="I45" s="310" t="s">
        <v>24</v>
      </c>
      <c r="J45" s="307"/>
      <c r="K45" s="307"/>
      <c r="L45" s="307"/>
      <c r="M45" s="34"/>
      <c r="N45" s="34"/>
      <c r="O45" s="23"/>
      <c r="P45" s="23"/>
      <c r="Q45" s="23"/>
      <c r="R45" s="23"/>
      <c r="S45" s="23"/>
      <c r="T45" s="23"/>
      <c r="U45" s="23"/>
      <c r="V45" s="23"/>
      <c r="W45" s="23"/>
    </row>
    <row r="46" spans="1:23" ht="12.75">
      <c r="A46" s="506" t="s">
        <v>330</v>
      </c>
      <c r="B46" s="514">
        <v>0.1239</v>
      </c>
      <c r="C46" s="509">
        <v>0</v>
      </c>
      <c r="D46" s="509">
        <v>0</v>
      </c>
      <c r="E46" s="509">
        <v>0</v>
      </c>
      <c r="F46" s="509">
        <v>0.1876</v>
      </c>
      <c r="G46" s="502">
        <v>0.9711</v>
      </c>
      <c r="H46" s="246"/>
      <c r="I46" s="7"/>
      <c r="J46" s="307"/>
      <c r="K46" s="307"/>
      <c r="L46" s="307"/>
      <c r="M46" s="34"/>
      <c r="N46" s="34"/>
      <c r="O46" s="23"/>
      <c r="P46" s="23"/>
      <c r="Q46" s="23"/>
      <c r="R46" s="23"/>
      <c r="S46" s="23"/>
      <c r="T46" s="23"/>
      <c r="U46" s="23"/>
      <c r="V46" s="23"/>
      <c r="W46" s="23"/>
    </row>
    <row r="47" spans="1:23" ht="12.75">
      <c r="A47" s="506" t="s">
        <v>131</v>
      </c>
      <c r="B47" s="514">
        <v>0.0182</v>
      </c>
      <c r="C47" s="509">
        <v>0</v>
      </c>
      <c r="D47" s="509">
        <v>0</v>
      </c>
      <c r="E47" s="509">
        <v>0</v>
      </c>
      <c r="F47" s="509">
        <v>0</v>
      </c>
      <c r="G47" s="502">
        <v>0</v>
      </c>
      <c r="H47" s="246"/>
      <c r="I47" s="7"/>
      <c r="J47" s="307"/>
      <c r="K47" s="307"/>
      <c r="L47" s="307"/>
      <c r="M47" s="34"/>
      <c r="N47" s="34"/>
      <c r="O47" s="23"/>
      <c r="P47" s="23"/>
      <c r="Q47" s="23"/>
      <c r="R47" s="23"/>
      <c r="S47" s="23"/>
      <c r="T47" s="23"/>
      <c r="U47" s="23"/>
      <c r="V47" s="23"/>
      <c r="W47" s="23"/>
    </row>
    <row r="48" spans="1:23" ht="12.75">
      <c r="A48" s="506" t="s">
        <v>331</v>
      </c>
      <c r="B48" s="514">
        <v>0.002</v>
      </c>
      <c r="C48" s="509">
        <v>0</v>
      </c>
      <c r="D48" s="509">
        <v>0.1605</v>
      </c>
      <c r="E48" s="509">
        <v>0.0079</v>
      </c>
      <c r="F48" s="509">
        <v>0</v>
      </c>
      <c r="G48" s="502">
        <v>0</v>
      </c>
      <c r="H48" s="246"/>
      <c r="I48" s="7"/>
      <c r="J48" s="307"/>
      <c r="K48" s="307"/>
      <c r="L48" s="307"/>
      <c r="M48" s="34"/>
      <c r="N48" s="34"/>
      <c r="O48" s="23"/>
      <c r="P48" s="23"/>
      <c r="Q48" s="23"/>
      <c r="R48" s="23"/>
      <c r="S48" s="23"/>
      <c r="T48" s="23"/>
      <c r="U48" s="23"/>
      <c r="V48" s="23"/>
      <c r="W48" s="23"/>
    </row>
    <row r="49" spans="1:23" ht="12.75">
      <c r="A49" s="506" t="s">
        <v>12</v>
      </c>
      <c r="B49" s="514">
        <v>0.0378</v>
      </c>
      <c r="C49" s="509">
        <v>0.0964</v>
      </c>
      <c r="D49" s="509">
        <v>0.0117</v>
      </c>
      <c r="E49" s="509">
        <v>0.1282</v>
      </c>
      <c r="F49" s="509">
        <v>0</v>
      </c>
      <c r="G49" s="502">
        <v>0</v>
      </c>
      <c r="H49" s="246"/>
      <c r="I49" s="7"/>
      <c r="J49" s="307"/>
      <c r="K49" s="307"/>
      <c r="L49" s="307"/>
      <c r="M49" s="34"/>
      <c r="N49" s="34"/>
      <c r="O49" s="23"/>
      <c r="P49" s="23"/>
      <c r="Q49" s="23"/>
      <c r="R49" s="23"/>
      <c r="S49" s="23"/>
      <c r="T49" s="23"/>
      <c r="U49" s="23"/>
      <c r="V49" s="23"/>
      <c r="W49" s="23"/>
    </row>
    <row r="50" spans="1:23" ht="12.75">
      <c r="A50" s="506" t="s">
        <v>332</v>
      </c>
      <c r="B50" s="514">
        <v>0.0187</v>
      </c>
      <c r="C50" s="509">
        <v>0.0148</v>
      </c>
      <c r="D50" s="509">
        <v>0</v>
      </c>
      <c r="E50" s="509">
        <v>0</v>
      </c>
      <c r="F50" s="509">
        <v>0</v>
      </c>
      <c r="G50" s="502">
        <v>0.0018</v>
      </c>
      <c r="H50" s="246"/>
      <c r="I50" s="7"/>
      <c r="J50" s="307"/>
      <c r="K50" s="307"/>
      <c r="L50" s="307"/>
      <c r="M50" s="34"/>
      <c r="N50" s="34"/>
      <c r="O50" s="23"/>
      <c r="P50" s="23"/>
      <c r="Q50" s="23"/>
      <c r="R50" s="23"/>
      <c r="S50" s="23"/>
      <c r="T50" s="23"/>
      <c r="U50" s="23"/>
      <c r="V50" s="23"/>
      <c r="W50" s="23"/>
    </row>
    <row r="51" spans="1:23" ht="12.75">
      <c r="A51" s="506" t="s">
        <v>119</v>
      </c>
      <c r="B51" s="514">
        <v>0.0042</v>
      </c>
      <c r="C51" s="509">
        <v>0.0095</v>
      </c>
      <c r="D51" s="509">
        <v>0.0007</v>
      </c>
      <c r="E51" s="509">
        <v>0.0118</v>
      </c>
      <c r="F51" s="509">
        <v>0.0521</v>
      </c>
      <c r="G51" s="502">
        <v>0</v>
      </c>
      <c r="H51" s="246"/>
      <c r="I51" s="7"/>
      <c r="J51" s="307"/>
      <c r="K51" s="307"/>
      <c r="L51" s="307"/>
      <c r="M51" s="34"/>
      <c r="N51" s="34"/>
      <c r="O51" s="23"/>
      <c r="P51" s="23"/>
      <c r="Q51" s="23"/>
      <c r="R51" s="23"/>
      <c r="S51" s="23"/>
      <c r="T51" s="23"/>
      <c r="U51" s="23"/>
      <c r="V51" s="23"/>
      <c r="W51" s="23"/>
    </row>
    <row r="52" spans="1:23" ht="12.75">
      <c r="A52" s="506" t="s">
        <v>9</v>
      </c>
      <c r="B52" s="514">
        <v>0.053</v>
      </c>
      <c r="C52" s="509">
        <v>0.3079</v>
      </c>
      <c r="D52" s="509">
        <v>0</v>
      </c>
      <c r="E52" s="509">
        <v>0.5108</v>
      </c>
      <c r="F52" s="509">
        <v>0</v>
      </c>
      <c r="G52" s="502">
        <v>0</v>
      </c>
      <c r="H52" s="246"/>
      <c r="I52" s="7"/>
      <c r="J52" s="307"/>
      <c r="K52" s="307"/>
      <c r="L52" s="307"/>
      <c r="M52" s="34"/>
      <c r="N52" s="34"/>
      <c r="O52" s="23"/>
      <c r="P52" s="23"/>
      <c r="Q52" s="23"/>
      <c r="R52" s="23"/>
      <c r="S52" s="23"/>
      <c r="T52" s="23"/>
      <c r="U52" s="23"/>
      <c r="V52" s="23"/>
      <c r="W52" s="23"/>
    </row>
    <row r="53" spans="1:23" ht="12.75">
      <c r="A53" s="506" t="s">
        <v>333</v>
      </c>
      <c r="B53" s="514">
        <v>0.0184</v>
      </c>
      <c r="C53" s="509">
        <v>0</v>
      </c>
      <c r="D53" s="509">
        <v>0.0297</v>
      </c>
      <c r="E53" s="509">
        <v>0</v>
      </c>
      <c r="F53" s="509">
        <v>0.0005</v>
      </c>
      <c r="G53" s="502">
        <v>0</v>
      </c>
      <c r="H53" s="246"/>
      <c r="I53" s="7"/>
      <c r="J53" s="307"/>
      <c r="K53" s="307"/>
      <c r="L53" s="307"/>
      <c r="M53" s="34"/>
      <c r="N53" s="34"/>
      <c r="O53" s="23"/>
      <c r="P53" s="23"/>
      <c r="Q53" s="23"/>
      <c r="R53" s="23"/>
      <c r="S53" s="23"/>
      <c r="T53" s="23"/>
      <c r="U53" s="23"/>
      <c r="V53" s="23"/>
      <c r="W53" s="23"/>
    </row>
    <row r="54" spans="1:23" ht="12.75">
      <c r="A54" s="506" t="s">
        <v>15</v>
      </c>
      <c r="B54" s="514">
        <v>0.0418</v>
      </c>
      <c r="C54" s="509">
        <v>0</v>
      </c>
      <c r="D54" s="509">
        <v>0.0104</v>
      </c>
      <c r="E54" s="509">
        <v>0.0057</v>
      </c>
      <c r="F54" s="509">
        <v>0</v>
      </c>
      <c r="G54" s="502">
        <v>0.0271</v>
      </c>
      <c r="H54" s="246"/>
      <c r="I54" s="7"/>
      <c r="J54" s="307"/>
      <c r="K54" s="307"/>
      <c r="L54" s="307"/>
      <c r="M54" s="34"/>
      <c r="N54" s="34"/>
      <c r="O54" s="23"/>
      <c r="P54" s="23"/>
      <c r="Q54" s="23"/>
      <c r="R54" s="23"/>
      <c r="S54" s="23"/>
      <c r="T54" s="23"/>
      <c r="U54" s="23"/>
      <c r="V54" s="23"/>
      <c r="W54" s="23"/>
    </row>
    <row r="55" spans="1:31" ht="12.75">
      <c r="A55" s="506" t="s">
        <v>334</v>
      </c>
      <c r="B55" s="514">
        <v>0.0446</v>
      </c>
      <c r="C55" s="509">
        <v>0.1641</v>
      </c>
      <c r="D55" s="509">
        <v>0</v>
      </c>
      <c r="E55" s="509">
        <v>0</v>
      </c>
      <c r="F55" s="509">
        <v>0</v>
      </c>
      <c r="G55" s="502">
        <v>0</v>
      </c>
      <c r="H55" s="246"/>
      <c r="I55" s="7"/>
      <c r="J55" s="307"/>
      <c r="K55" s="307"/>
      <c r="L55" s="307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15"/>
      <c r="Y55" s="15"/>
      <c r="Z55" s="15"/>
      <c r="AA55" s="15"/>
      <c r="AB55" s="15"/>
      <c r="AC55" s="15"/>
      <c r="AD55" s="15"/>
      <c r="AE55" s="15"/>
    </row>
    <row r="56" spans="1:23" ht="12.75">
      <c r="A56" s="506" t="s">
        <v>335</v>
      </c>
      <c r="B56" s="514">
        <v>0.0622</v>
      </c>
      <c r="C56" s="509">
        <v>0.1407</v>
      </c>
      <c r="D56" s="509">
        <v>0.7016</v>
      </c>
      <c r="E56" s="509">
        <v>0.3146</v>
      </c>
      <c r="F56" s="509">
        <v>0</v>
      </c>
      <c r="G56" s="502">
        <v>0</v>
      </c>
      <c r="H56" s="246"/>
      <c r="I56" s="7"/>
      <c r="J56" s="307"/>
      <c r="K56" s="307"/>
      <c r="L56" s="307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2.75">
      <c r="A57" s="506" t="s">
        <v>336</v>
      </c>
      <c r="B57" s="514">
        <v>0.0025</v>
      </c>
      <c r="C57" s="509">
        <v>0.0052</v>
      </c>
      <c r="D57" s="509">
        <v>0.0278</v>
      </c>
      <c r="E57" s="509">
        <v>0.0125</v>
      </c>
      <c r="F57" s="509">
        <v>0</v>
      </c>
      <c r="G57" s="502">
        <v>0</v>
      </c>
      <c r="H57" s="246"/>
      <c r="I57" s="7"/>
      <c r="J57" s="307"/>
      <c r="K57" s="307"/>
      <c r="L57" s="307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ht="13.5" thickBot="1">
      <c r="A58" s="507" t="s">
        <v>337</v>
      </c>
      <c r="B58" s="515">
        <v>0.002</v>
      </c>
      <c r="C58" s="510">
        <v>0.0029</v>
      </c>
      <c r="D58" s="510">
        <v>0.0211</v>
      </c>
      <c r="E58" s="510">
        <v>0.0085</v>
      </c>
      <c r="F58" s="510">
        <v>0</v>
      </c>
      <c r="G58" s="512">
        <v>0</v>
      </c>
      <c r="H58" s="246"/>
      <c r="I58" s="7"/>
      <c r="J58" s="307"/>
      <c r="K58" s="307"/>
      <c r="L58" s="307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ht="12.75" customHeight="1" thickBot="1">
      <c r="A59" s="517"/>
      <c r="B59" s="516">
        <f aca="true" t="shared" si="4" ref="B59:G59">SUM(B35:B58)</f>
        <v>0.9999999999999999</v>
      </c>
      <c r="C59" s="516">
        <f t="shared" si="4"/>
        <v>1</v>
      </c>
      <c r="D59" s="516">
        <f t="shared" si="4"/>
        <v>1</v>
      </c>
      <c r="E59" s="516">
        <f t="shared" si="4"/>
        <v>1</v>
      </c>
      <c r="F59" s="516">
        <f t="shared" si="4"/>
        <v>1</v>
      </c>
      <c r="G59" s="518">
        <f t="shared" si="4"/>
        <v>1</v>
      </c>
      <c r="H59" s="244"/>
      <c r="I59" s="308"/>
      <c r="J59" s="303"/>
      <c r="K59" s="303"/>
      <c r="L59" s="30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3" ht="12.75">
      <c r="A60" s="645" t="s">
        <v>338</v>
      </c>
      <c r="B60" s="646"/>
      <c r="C60" s="646"/>
      <c r="D60" s="646"/>
      <c r="E60" s="646"/>
      <c r="F60" s="646"/>
      <c r="G60" s="646"/>
      <c r="H60" s="23"/>
      <c r="I60" s="665"/>
      <c r="J60" s="665"/>
      <c r="K60" s="665"/>
      <c r="L60" s="665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3" ht="13.5" customHeight="1">
      <c r="A61" s="25"/>
      <c r="B61" s="158"/>
      <c r="C61" s="158"/>
      <c r="D61" s="158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3" ht="13.5" customHeight="1" thickBot="1">
      <c r="A62" s="25"/>
      <c r="B62" s="158"/>
      <c r="C62" s="158"/>
      <c r="D62" s="158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23" ht="13.5" thickBot="1">
      <c r="A63" s="657" t="s">
        <v>169</v>
      </c>
      <c r="B63" s="179"/>
      <c r="C63" s="179"/>
      <c r="D63" s="42"/>
      <c r="E63" s="23"/>
      <c r="F63" s="120" t="s">
        <v>24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9" ht="30" customHeight="1" thickBot="1">
      <c r="A64" s="658"/>
      <c r="B64" s="651" t="s">
        <v>29</v>
      </c>
      <c r="C64" s="652"/>
      <c r="D64" s="652"/>
      <c r="E64" s="653"/>
      <c r="F64" s="651" t="s">
        <v>35</v>
      </c>
      <c r="G64" s="653"/>
      <c r="H64" s="671" t="s">
        <v>5</v>
      </c>
      <c r="I64" s="672"/>
      <c r="J64" s="672"/>
      <c r="K64" s="672"/>
      <c r="L64" s="673"/>
      <c r="M64" s="651" t="s">
        <v>8</v>
      </c>
      <c r="N64" s="652"/>
      <c r="O64" s="652"/>
      <c r="P64" s="652"/>
      <c r="Q64" s="653"/>
      <c r="R64" s="671" t="s">
        <v>36</v>
      </c>
      <c r="S64" s="672"/>
      <c r="T64" s="672"/>
      <c r="U64" s="673"/>
      <c r="V64" s="651" t="s">
        <v>15</v>
      </c>
      <c r="W64" s="653"/>
      <c r="X64" s="651" t="s">
        <v>11</v>
      </c>
      <c r="Y64" s="652"/>
      <c r="Z64" s="652"/>
      <c r="AA64" s="653"/>
      <c r="AB64" s="651" t="s">
        <v>37</v>
      </c>
      <c r="AC64" s="653"/>
    </row>
    <row r="65" spans="1:29" ht="26.25" thickBot="1">
      <c r="A65" s="659"/>
      <c r="B65" s="654" t="s">
        <v>43</v>
      </c>
      <c r="C65" s="655"/>
      <c r="D65" s="656"/>
      <c r="E65" s="159">
        <f>'1st IA Load Pricing Results'!D14</f>
        <v>0</v>
      </c>
      <c r="F65" s="493" t="s">
        <v>43</v>
      </c>
      <c r="G65" s="278">
        <f>'1st IA Load Pricing Results'!D15-'1st IA Load Pricing Results'!D14</f>
        <v>19.872845258067052</v>
      </c>
      <c r="H65" s="674" t="s">
        <v>43</v>
      </c>
      <c r="I65" s="675"/>
      <c r="J65" s="675"/>
      <c r="K65" s="675"/>
      <c r="L65" s="279">
        <f>'1st IA Load Pricing Results'!D16-'1st IA Load Pricing Results'!D14</f>
        <v>0</v>
      </c>
      <c r="M65" s="668" t="s">
        <v>43</v>
      </c>
      <c r="N65" s="669"/>
      <c r="O65" s="669"/>
      <c r="P65" s="670"/>
      <c r="Q65" s="276">
        <f>'1st IA Load Pricing Results'!D26</f>
        <v>0</v>
      </c>
      <c r="R65" s="676" t="s">
        <v>43</v>
      </c>
      <c r="S65" s="677"/>
      <c r="T65" s="677"/>
      <c r="U65" s="279">
        <f>'1st IA Load Pricing Results'!D27</f>
        <v>0</v>
      </c>
      <c r="V65" s="281" t="s">
        <v>43</v>
      </c>
      <c r="W65" s="282">
        <f>'1st IA Load Pricing Results'!D17-'1st IA Load Pricing Results'!D16</f>
        <v>0</v>
      </c>
      <c r="X65" s="660" t="s">
        <v>43</v>
      </c>
      <c r="Y65" s="661"/>
      <c r="Z65" s="662"/>
      <c r="AA65" s="253">
        <f>'1st IA Load Pricing Results'!D19-'1st IA Load Pricing Results'!D16</f>
        <v>0.3154531148044371</v>
      </c>
      <c r="AB65" s="284" t="s">
        <v>43</v>
      </c>
      <c r="AC65" s="282">
        <f>'1st IA Load Pricing Results'!D30</f>
        <v>0</v>
      </c>
    </row>
    <row r="66" spans="1:29" ht="64.5" thickBot="1">
      <c r="A66" s="161" t="s">
        <v>62</v>
      </c>
      <c r="B66" s="162" t="s">
        <v>109</v>
      </c>
      <c r="C66" s="156" t="s">
        <v>110</v>
      </c>
      <c r="D66" s="163" t="s">
        <v>63</v>
      </c>
      <c r="E66" s="164" t="s">
        <v>77</v>
      </c>
      <c r="F66" s="162" t="s">
        <v>109</v>
      </c>
      <c r="G66" s="164" t="s">
        <v>77</v>
      </c>
      <c r="H66" s="272" t="s">
        <v>109</v>
      </c>
      <c r="I66" s="251" t="s">
        <v>110</v>
      </c>
      <c r="J66" s="251" t="s">
        <v>198</v>
      </c>
      <c r="K66" s="277" t="s">
        <v>63</v>
      </c>
      <c r="L66" s="269" t="s">
        <v>77</v>
      </c>
      <c r="M66" s="162" t="s">
        <v>109</v>
      </c>
      <c r="N66" s="156" t="s">
        <v>111</v>
      </c>
      <c r="O66" s="156" t="s">
        <v>112</v>
      </c>
      <c r="P66" s="163" t="s">
        <v>63</v>
      </c>
      <c r="Q66" s="164" t="s">
        <v>77</v>
      </c>
      <c r="R66" s="272" t="s">
        <v>109</v>
      </c>
      <c r="S66" s="251" t="s">
        <v>111</v>
      </c>
      <c r="T66" s="277" t="s">
        <v>63</v>
      </c>
      <c r="U66" s="280" t="s">
        <v>77</v>
      </c>
      <c r="V66" s="258" t="s">
        <v>198</v>
      </c>
      <c r="W66" s="164" t="s">
        <v>77</v>
      </c>
      <c r="X66" s="251" t="s">
        <v>110</v>
      </c>
      <c r="Y66" s="283" t="s">
        <v>150</v>
      </c>
      <c r="Z66" s="277" t="s">
        <v>63</v>
      </c>
      <c r="AA66" s="252" t="s">
        <v>77</v>
      </c>
      <c r="AB66" s="647" t="s">
        <v>141</v>
      </c>
      <c r="AC66" s="648"/>
    </row>
    <row r="67" spans="1:29" ht="12.75">
      <c r="A67" s="505" t="s">
        <v>16</v>
      </c>
      <c r="B67" s="139">
        <f>B35*$C$13</f>
        <v>11.88097438508557</v>
      </c>
      <c r="C67" s="165">
        <f>C35*$C$15</f>
        <v>1.3938897763176812</v>
      </c>
      <c r="D67" s="165">
        <f>B67+C67</f>
        <v>13.274864161403253</v>
      </c>
      <c r="E67" s="55">
        <f>D67*$E$65</f>
        <v>0</v>
      </c>
      <c r="F67" s="139">
        <f>B35*$D$13</f>
        <v>15.266000000000002</v>
      </c>
      <c r="G67" s="142">
        <f>F67*$G$65</f>
        <v>303.37885570965165</v>
      </c>
      <c r="H67" s="139">
        <f>B35*$E$13</f>
        <v>4.352</v>
      </c>
      <c r="I67" s="165">
        <f>C35*$E$15</f>
        <v>21.33</v>
      </c>
      <c r="J67" s="274">
        <f>G35*$E$19</f>
        <v>0</v>
      </c>
      <c r="K67" s="165">
        <f>H67+I67+J67</f>
        <v>25.682</v>
      </c>
      <c r="L67" s="270">
        <f>K67*$L$65</f>
        <v>0</v>
      </c>
      <c r="M67" s="139">
        <f>B35*$F$13</f>
        <v>1.1713000000000002</v>
      </c>
      <c r="N67" s="165">
        <f>D35*$F$16</f>
        <v>0.7824599999999999</v>
      </c>
      <c r="O67" s="165">
        <f aca="true" t="shared" si="5" ref="O67:O90">E35*$F$17</f>
        <v>0</v>
      </c>
      <c r="P67" s="165">
        <f>M67+N67+O67</f>
        <v>1.9537600000000002</v>
      </c>
      <c r="Q67" s="55">
        <f>P67*$Q$65</f>
        <v>0</v>
      </c>
      <c r="R67" s="139">
        <f aca="true" t="shared" si="6" ref="R67:R90">B35*$G$13</f>
        <v>1.7935</v>
      </c>
      <c r="S67" s="165">
        <f aca="true" t="shared" si="7" ref="S67:S90">D35*$G$16</f>
        <v>1.13735</v>
      </c>
      <c r="T67" s="165">
        <f aca="true" t="shared" si="8" ref="T67:T89">R67+S67</f>
        <v>2.9308500000000004</v>
      </c>
      <c r="U67" s="254">
        <f aca="true" t="shared" si="9" ref="U67:U90">T67*$U$65</f>
        <v>0</v>
      </c>
      <c r="V67" s="139">
        <f>G35*$J$19</f>
        <v>0</v>
      </c>
      <c r="W67" s="142">
        <f aca="true" t="shared" si="10" ref="W67:W90">V67*$W$65</f>
        <v>0</v>
      </c>
      <c r="X67" s="165">
        <f>C35*$K$15</f>
        <v>11.16</v>
      </c>
      <c r="Y67" s="256">
        <f>F35*$K$18</f>
        <v>0</v>
      </c>
      <c r="Z67" s="273">
        <f aca="true" t="shared" si="11" ref="Z67:Z90">X67+Y67</f>
        <v>11.16</v>
      </c>
      <c r="AA67" s="142">
        <f>Z67*$AA$65</f>
        <v>3.520456761217518</v>
      </c>
      <c r="AB67" s="4"/>
      <c r="AC67" s="4"/>
    </row>
    <row r="68" spans="1:29" ht="12.75">
      <c r="A68" s="506" t="s">
        <v>30</v>
      </c>
      <c r="B68" s="139">
        <f aca="true" t="shared" si="12" ref="B68:B90">B36*$C$13</f>
        <v>99.59052058086434</v>
      </c>
      <c r="C68" s="165">
        <f aca="true" t="shared" si="13" ref="C68:C90">C36*$C$15</f>
        <v>0</v>
      </c>
      <c r="D68" s="165">
        <f>B68+C68</f>
        <v>99.59052058086434</v>
      </c>
      <c r="E68" s="55">
        <f>D68*$E$65</f>
        <v>0</v>
      </c>
      <c r="F68" s="139">
        <f aca="true" t="shared" si="14" ref="F68:F90">B36*$D$13</f>
        <v>127.96499999999999</v>
      </c>
      <c r="G68" s="142">
        <f>F68*$G$65</f>
        <v>2543.02864344855</v>
      </c>
      <c r="H68" s="139">
        <f aca="true" t="shared" si="15" ref="H68:H90">B36*$E$13</f>
        <v>36.48</v>
      </c>
      <c r="I68" s="165">
        <f aca="true" t="shared" si="16" ref="I68:I90">C36*$E$15</f>
        <v>0</v>
      </c>
      <c r="J68" s="274">
        <f aca="true" t="shared" si="17" ref="J68:J90">G36*$E$19</f>
        <v>0</v>
      </c>
      <c r="K68" s="165">
        <f aca="true" t="shared" si="18" ref="K68:K90">H68+I68+J68</f>
        <v>36.48</v>
      </c>
      <c r="L68" s="270">
        <f>K68*$L$65</f>
        <v>0</v>
      </c>
      <c r="M68" s="139">
        <f aca="true" t="shared" si="19" ref="M68:M90">B36*$F$13</f>
        <v>9.81825</v>
      </c>
      <c r="N68" s="165">
        <f aca="true" t="shared" si="20" ref="N68:N90">D36*$F$16</f>
        <v>0</v>
      </c>
      <c r="O68" s="165">
        <f t="shared" si="5"/>
        <v>0</v>
      </c>
      <c r="P68" s="165">
        <f>M68+N68+O68</f>
        <v>9.81825</v>
      </c>
      <c r="Q68" s="55">
        <f aca="true" t="shared" si="21" ref="Q68:Q90">P68*$Q$65</f>
        <v>0</v>
      </c>
      <c r="R68" s="139">
        <f t="shared" si="6"/>
        <v>15.03375</v>
      </c>
      <c r="S68" s="165">
        <f t="shared" si="7"/>
        <v>0</v>
      </c>
      <c r="T68" s="165">
        <f t="shared" si="8"/>
        <v>15.03375</v>
      </c>
      <c r="U68" s="254">
        <f t="shared" si="9"/>
        <v>0</v>
      </c>
      <c r="V68" s="139">
        <f aca="true" t="shared" si="22" ref="V68:V90">G36*$J$19</f>
        <v>0</v>
      </c>
      <c r="W68" s="142">
        <f t="shared" si="10"/>
        <v>0</v>
      </c>
      <c r="X68" s="165">
        <f aca="true" t="shared" si="23" ref="X68:X90">C36*$K$15</f>
        <v>0</v>
      </c>
      <c r="Y68" s="256">
        <f aca="true" t="shared" si="24" ref="Y68:Y90">F36*$K$18</f>
        <v>0</v>
      </c>
      <c r="Z68" s="273">
        <f t="shared" si="11"/>
        <v>0</v>
      </c>
      <c r="AA68" s="142">
        <f aca="true" t="shared" si="25" ref="AA68:AA90">Z68*$AA$65</f>
        <v>0</v>
      </c>
      <c r="AB68" s="4"/>
      <c r="AC68" s="4"/>
    </row>
    <row r="69" spans="1:29" ht="12.75">
      <c r="A69" s="506" t="s">
        <v>19</v>
      </c>
      <c r="B69" s="139">
        <f t="shared" si="12"/>
        <v>38.648110793837176</v>
      </c>
      <c r="C69" s="165">
        <f t="shared" si="13"/>
        <v>0</v>
      </c>
      <c r="D69" s="165">
        <f>B69+C69</f>
        <v>38.648110793837176</v>
      </c>
      <c r="E69" s="55">
        <f aca="true" t="shared" si="26" ref="E69:E89">D69*$E$65</f>
        <v>0</v>
      </c>
      <c r="F69" s="139">
        <f t="shared" si="14"/>
        <v>49.659400000000005</v>
      </c>
      <c r="G69" s="142">
        <f>F69*$G$65</f>
        <v>986.873571808455</v>
      </c>
      <c r="H69" s="139">
        <f t="shared" si="15"/>
        <v>14.1568</v>
      </c>
      <c r="I69" s="165">
        <f t="shared" si="16"/>
        <v>0</v>
      </c>
      <c r="J69" s="274">
        <f t="shared" si="17"/>
        <v>0</v>
      </c>
      <c r="K69" s="165">
        <f t="shared" si="18"/>
        <v>14.1568</v>
      </c>
      <c r="L69" s="270">
        <f>K69*$L$65</f>
        <v>0</v>
      </c>
      <c r="M69" s="139">
        <f t="shared" si="19"/>
        <v>3.8101700000000003</v>
      </c>
      <c r="N69" s="165">
        <f t="shared" si="20"/>
        <v>0</v>
      </c>
      <c r="O69" s="165">
        <f t="shared" si="5"/>
        <v>0</v>
      </c>
      <c r="P69" s="165">
        <f>M69+N69+O69</f>
        <v>3.8101700000000003</v>
      </c>
      <c r="Q69" s="55">
        <f t="shared" si="21"/>
        <v>0</v>
      </c>
      <c r="R69" s="139">
        <f t="shared" si="6"/>
        <v>5.83415</v>
      </c>
      <c r="S69" s="165">
        <f t="shared" si="7"/>
        <v>0</v>
      </c>
      <c r="T69" s="165">
        <f t="shared" si="8"/>
        <v>5.83415</v>
      </c>
      <c r="U69" s="254">
        <f t="shared" si="9"/>
        <v>0</v>
      </c>
      <c r="V69" s="139">
        <f t="shared" si="22"/>
        <v>0</v>
      </c>
      <c r="W69" s="142">
        <f t="shared" si="10"/>
        <v>0</v>
      </c>
      <c r="X69" s="165">
        <f t="shared" si="23"/>
        <v>0</v>
      </c>
      <c r="Y69" s="256">
        <f t="shared" si="24"/>
        <v>8.044400000000001</v>
      </c>
      <c r="Z69" s="273">
        <f t="shared" si="11"/>
        <v>8.044400000000001</v>
      </c>
      <c r="AA69" s="142">
        <f t="shared" si="25"/>
        <v>2.5376310367328143</v>
      </c>
      <c r="AB69" s="4"/>
      <c r="AC69" s="4"/>
    </row>
    <row r="70" spans="1:29" ht="12.75">
      <c r="A70" s="506" t="s">
        <v>45</v>
      </c>
      <c r="B70" s="139">
        <f t="shared" si="12"/>
        <v>56.53946045608368</v>
      </c>
      <c r="C70" s="165">
        <f t="shared" si="13"/>
        <v>0</v>
      </c>
      <c r="D70" s="165">
        <f aca="true" t="shared" si="27" ref="D70:D89">B70+C70</f>
        <v>56.53946045608368</v>
      </c>
      <c r="E70" s="55">
        <f t="shared" si="26"/>
        <v>0</v>
      </c>
      <c r="F70" s="139">
        <f t="shared" si="14"/>
        <v>72.6482</v>
      </c>
      <c r="G70" s="142">
        <f aca="true" t="shared" si="28" ref="G70:G90">F70*$G$65</f>
        <v>1443.7264368771068</v>
      </c>
      <c r="H70" s="139">
        <f t="shared" si="15"/>
        <v>20.7104</v>
      </c>
      <c r="I70" s="165">
        <f t="shared" si="16"/>
        <v>0</v>
      </c>
      <c r="J70" s="274">
        <f t="shared" si="17"/>
        <v>0</v>
      </c>
      <c r="K70" s="165">
        <f t="shared" si="18"/>
        <v>20.7104</v>
      </c>
      <c r="L70" s="270">
        <f>K70*$L$65</f>
        <v>0</v>
      </c>
      <c r="M70" s="139">
        <f t="shared" si="19"/>
        <v>5.57401</v>
      </c>
      <c r="N70" s="165">
        <f t="shared" si="20"/>
        <v>0</v>
      </c>
      <c r="O70" s="165">
        <f t="shared" si="5"/>
        <v>0</v>
      </c>
      <c r="P70" s="165">
        <f aca="true" t="shared" si="29" ref="P70:P85">M70+N70+O70</f>
        <v>5.57401</v>
      </c>
      <c r="Q70" s="55">
        <f t="shared" si="21"/>
        <v>0</v>
      </c>
      <c r="R70" s="139">
        <f t="shared" si="6"/>
        <v>8.53495</v>
      </c>
      <c r="S70" s="165">
        <f t="shared" si="7"/>
        <v>0</v>
      </c>
      <c r="T70" s="165">
        <f t="shared" si="8"/>
        <v>8.53495</v>
      </c>
      <c r="U70" s="254">
        <f t="shared" si="9"/>
        <v>0</v>
      </c>
      <c r="V70" s="139">
        <f t="shared" si="22"/>
        <v>0</v>
      </c>
      <c r="W70" s="142">
        <f t="shared" si="10"/>
        <v>0</v>
      </c>
      <c r="X70" s="165">
        <f t="shared" si="23"/>
        <v>0</v>
      </c>
      <c r="Y70" s="256">
        <f t="shared" si="24"/>
        <v>0</v>
      </c>
      <c r="Z70" s="273">
        <f t="shared" si="11"/>
        <v>0</v>
      </c>
      <c r="AA70" s="142">
        <f t="shared" si="25"/>
        <v>0</v>
      </c>
      <c r="AB70" s="4"/>
      <c r="AC70" s="4"/>
    </row>
    <row r="71" spans="1:29" ht="12.75">
      <c r="A71" s="506" t="s">
        <v>11</v>
      </c>
      <c r="B71" s="139">
        <f t="shared" si="12"/>
        <v>29.283107455005023</v>
      </c>
      <c r="C71" s="165">
        <f t="shared" si="13"/>
        <v>0</v>
      </c>
      <c r="D71" s="165">
        <f t="shared" si="27"/>
        <v>29.283107455005023</v>
      </c>
      <c r="E71" s="55">
        <f t="shared" si="26"/>
        <v>0</v>
      </c>
      <c r="F71" s="139">
        <f t="shared" si="14"/>
        <v>37.6262</v>
      </c>
      <c r="G71" s="142">
        <f t="shared" si="28"/>
        <v>747.7396502490825</v>
      </c>
      <c r="H71" s="139">
        <f t="shared" si="15"/>
        <v>10.7264</v>
      </c>
      <c r="I71" s="165">
        <f t="shared" si="16"/>
        <v>0</v>
      </c>
      <c r="J71" s="274">
        <f t="shared" si="17"/>
        <v>0</v>
      </c>
      <c r="K71" s="165">
        <f t="shared" si="18"/>
        <v>10.7264</v>
      </c>
      <c r="L71" s="270">
        <f aca="true" t="shared" si="30" ref="L71:L85">K71*$L$65</f>
        <v>0</v>
      </c>
      <c r="M71" s="139">
        <f t="shared" si="19"/>
        <v>2.8869100000000003</v>
      </c>
      <c r="N71" s="165">
        <f t="shared" si="20"/>
        <v>3.29994</v>
      </c>
      <c r="O71" s="165">
        <f t="shared" si="5"/>
        <v>0</v>
      </c>
      <c r="P71" s="165">
        <f t="shared" si="29"/>
        <v>6.18685</v>
      </c>
      <c r="Q71" s="55">
        <f t="shared" si="21"/>
        <v>0</v>
      </c>
      <c r="R71" s="139">
        <f t="shared" si="6"/>
        <v>4.42045</v>
      </c>
      <c r="S71" s="165">
        <f t="shared" si="7"/>
        <v>4.7966500000000005</v>
      </c>
      <c r="T71" s="165">
        <f t="shared" si="8"/>
        <v>9.2171</v>
      </c>
      <c r="U71" s="254">
        <f t="shared" si="9"/>
        <v>0</v>
      </c>
      <c r="V71" s="139">
        <f t="shared" si="22"/>
        <v>0</v>
      </c>
      <c r="W71" s="142">
        <f t="shared" si="10"/>
        <v>0</v>
      </c>
      <c r="X71" s="165">
        <f t="shared" si="23"/>
        <v>0</v>
      </c>
      <c r="Y71" s="256">
        <f t="shared" si="24"/>
        <v>121.849</v>
      </c>
      <c r="Z71" s="273">
        <f t="shared" si="11"/>
        <v>121.849</v>
      </c>
      <c r="AA71" s="142">
        <f t="shared" si="25"/>
        <v>38.43764658580586</v>
      </c>
      <c r="AB71" s="4"/>
      <c r="AC71" s="4"/>
    </row>
    <row r="72" spans="1:29" ht="12.75">
      <c r="A72" s="506" t="s">
        <v>325</v>
      </c>
      <c r="B72" s="139">
        <f t="shared" si="12"/>
        <v>93.859697642176</v>
      </c>
      <c r="C72" s="165">
        <f t="shared" si="13"/>
        <v>0</v>
      </c>
      <c r="D72" s="165">
        <f t="shared" si="27"/>
        <v>93.859697642176</v>
      </c>
      <c r="E72" s="55">
        <f t="shared" si="26"/>
        <v>0</v>
      </c>
      <c r="F72" s="139">
        <f t="shared" si="14"/>
        <v>120.6014</v>
      </c>
      <c r="G72" s="142">
        <f t="shared" si="28"/>
        <v>2396.692960106248</v>
      </c>
      <c r="H72" s="139">
        <f t="shared" si="15"/>
        <v>34.3808</v>
      </c>
      <c r="I72" s="165">
        <f t="shared" si="16"/>
        <v>0</v>
      </c>
      <c r="J72" s="274">
        <f t="shared" si="17"/>
        <v>0</v>
      </c>
      <c r="K72" s="165">
        <f t="shared" si="18"/>
        <v>34.3808</v>
      </c>
      <c r="L72" s="270">
        <f t="shared" si="30"/>
        <v>0</v>
      </c>
      <c r="M72" s="139">
        <f t="shared" si="19"/>
        <v>9.25327</v>
      </c>
      <c r="N72" s="165">
        <f t="shared" si="20"/>
        <v>7.892639999999999</v>
      </c>
      <c r="O72" s="165">
        <f t="shared" si="5"/>
        <v>0</v>
      </c>
      <c r="P72" s="165">
        <f t="shared" si="29"/>
        <v>17.14591</v>
      </c>
      <c r="Q72" s="55">
        <f t="shared" si="21"/>
        <v>0</v>
      </c>
      <c r="R72" s="139">
        <f t="shared" si="6"/>
        <v>14.16865</v>
      </c>
      <c r="S72" s="165">
        <f t="shared" si="7"/>
        <v>11.472399999999999</v>
      </c>
      <c r="T72" s="165">
        <f t="shared" si="8"/>
        <v>25.64105</v>
      </c>
      <c r="U72" s="254">
        <f t="shared" si="9"/>
        <v>0</v>
      </c>
      <c r="V72" s="139">
        <f t="shared" si="22"/>
        <v>0</v>
      </c>
      <c r="W72" s="142">
        <f t="shared" si="10"/>
        <v>0</v>
      </c>
      <c r="X72" s="165">
        <f t="shared" si="23"/>
        <v>0</v>
      </c>
      <c r="Y72" s="256">
        <f t="shared" si="24"/>
        <v>7.4984</v>
      </c>
      <c r="Z72" s="273">
        <f t="shared" si="11"/>
        <v>7.4984</v>
      </c>
      <c r="AA72" s="142">
        <f t="shared" si="25"/>
        <v>2.3653936360495913</v>
      </c>
      <c r="AB72" s="4"/>
      <c r="AC72" s="4"/>
    </row>
    <row r="73" spans="1:29" ht="12.75">
      <c r="A73" s="506" t="s">
        <v>118</v>
      </c>
      <c r="B73" s="139">
        <f t="shared" si="12"/>
        <v>0</v>
      </c>
      <c r="C73" s="165">
        <f t="shared" si="13"/>
        <v>0</v>
      </c>
      <c r="D73" s="165">
        <f t="shared" si="27"/>
        <v>0</v>
      </c>
      <c r="E73" s="55">
        <f t="shared" si="26"/>
        <v>0</v>
      </c>
      <c r="F73" s="139">
        <f t="shared" si="14"/>
        <v>0</v>
      </c>
      <c r="G73" s="142">
        <f t="shared" si="28"/>
        <v>0</v>
      </c>
      <c r="H73" s="139">
        <f t="shared" si="15"/>
        <v>0</v>
      </c>
      <c r="I73" s="165">
        <f t="shared" si="16"/>
        <v>0</v>
      </c>
      <c r="J73" s="274">
        <f t="shared" si="17"/>
        <v>0</v>
      </c>
      <c r="K73" s="165">
        <f t="shared" si="18"/>
        <v>0</v>
      </c>
      <c r="L73" s="270">
        <f t="shared" si="30"/>
        <v>0</v>
      </c>
      <c r="M73" s="139">
        <f t="shared" si="19"/>
        <v>0</v>
      </c>
      <c r="N73" s="165">
        <f t="shared" si="20"/>
        <v>0</v>
      </c>
      <c r="O73" s="165">
        <f t="shared" si="5"/>
        <v>0</v>
      </c>
      <c r="P73" s="165">
        <f t="shared" si="29"/>
        <v>0</v>
      </c>
      <c r="Q73" s="55">
        <f t="shared" si="21"/>
        <v>0</v>
      </c>
      <c r="R73" s="139">
        <f t="shared" si="6"/>
        <v>0</v>
      </c>
      <c r="S73" s="165">
        <f t="shared" si="7"/>
        <v>0</v>
      </c>
      <c r="T73" s="165">
        <f t="shared" si="8"/>
        <v>0</v>
      </c>
      <c r="U73" s="254">
        <f t="shared" si="9"/>
        <v>0</v>
      </c>
      <c r="V73" s="139">
        <f t="shared" si="22"/>
        <v>0</v>
      </c>
      <c r="W73" s="142">
        <f t="shared" si="10"/>
        <v>0</v>
      </c>
      <c r="X73" s="165">
        <f t="shared" si="23"/>
        <v>0</v>
      </c>
      <c r="Y73" s="256">
        <f t="shared" si="24"/>
        <v>0</v>
      </c>
      <c r="Z73" s="273">
        <f t="shared" si="11"/>
        <v>0</v>
      </c>
      <c r="AA73" s="142">
        <f t="shared" si="25"/>
        <v>0</v>
      </c>
      <c r="AB73" s="4"/>
      <c r="AC73" s="4"/>
    </row>
    <row r="74" spans="1:29" ht="12.75">
      <c r="A74" s="506" t="s">
        <v>326</v>
      </c>
      <c r="B74" s="139">
        <f t="shared" si="12"/>
        <v>14.816273939047887</v>
      </c>
      <c r="C74" s="165">
        <f t="shared" si="13"/>
        <v>0</v>
      </c>
      <c r="D74" s="165">
        <f t="shared" si="27"/>
        <v>14.816273939047887</v>
      </c>
      <c r="E74" s="55">
        <f t="shared" si="26"/>
        <v>0</v>
      </c>
      <c r="F74" s="139">
        <f t="shared" si="14"/>
        <v>19.0376</v>
      </c>
      <c r="G74" s="142">
        <f t="shared" si="28"/>
        <v>378.33127888497734</v>
      </c>
      <c r="H74" s="139">
        <f t="shared" si="15"/>
        <v>5.4272</v>
      </c>
      <c r="I74" s="165">
        <f t="shared" si="16"/>
        <v>0</v>
      </c>
      <c r="J74" s="274">
        <f t="shared" si="17"/>
        <v>0</v>
      </c>
      <c r="K74" s="165">
        <f t="shared" si="18"/>
        <v>5.4272</v>
      </c>
      <c r="L74" s="270">
        <f t="shared" si="30"/>
        <v>0</v>
      </c>
      <c r="M74" s="139">
        <f t="shared" si="19"/>
        <v>1.4606800000000002</v>
      </c>
      <c r="N74" s="165">
        <f t="shared" si="20"/>
        <v>0.44226</v>
      </c>
      <c r="O74" s="165">
        <f t="shared" si="5"/>
        <v>0</v>
      </c>
      <c r="P74" s="165">
        <f t="shared" si="29"/>
        <v>1.90294</v>
      </c>
      <c r="Q74" s="55">
        <f t="shared" si="21"/>
        <v>0</v>
      </c>
      <c r="R74" s="139">
        <f t="shared" si="6"/>
        <v>2.2366</v>
      </c>
      <c r="S74" s="165">
        <f t="shared" si="7"/>
        <v>0.6428499999999999</v>
      </c>
      <c r="T74" s="165">
        <f t="shared" si="8"/>
        <v>2.8794500000000003</v>
      </c>
      <c r="U74" s="254">
        <f t="shared" si="9"/>
        <v>0</v>
      </c>
      <c r="V74" s="139">
        <f t="shared" si="22"/>
        <v>0</v>
      </c>
      <c r="W74" s="142">
        <f t="shared" si="10"/>
        <v>0</v>
      </c>
      <c r="X74" s="165">
        <f t="shared" si="23"/>
        <v>0</v>
      </c>
      <c r="Y74" s="256">
        <f t="shared" si="24"/>
        <v>0.8917999999999999</v>
      </c>
      <c r="Z74" s="273">
        <f t="shared" si="11"/>
        <v>0.8917999999999999</v>
      </c>
      <c r="AA74" s="142">
        <f t="shared" si="25"/>
        <v>0.281321087782597</v>
      </c>
      <c r="AB74" s="4"/>
      <c r="AC74" s="4"/>
    </row>
    <row r="75" spans="1:29" ht="12.75">
      <c r="A75" s="506" t="s">
        <v>327</v>
      </c>
      <c r="B75" s="139">
        <f t="shared" si="12"/>
        <v>23.55228451631669</v>
      </c>
      <c r="C75" s="165">
        <f t="shared" si="13"/>
        <v>0</v>
      </c>
      <c r="D75" s="165">
        <f t="shared" si="27"/>
        <v>23.55228451631669</v>
      </c>
      <c r="E75" s="55">
        <f t="shared" si="26"/>
        <v>0</v>
      </c>
      <c r="F75" s="139">
        <f t="shared" si="14"/>
        <v>30.2626</v>
      </c>
      <c r="G75" s="142">
        <f t="shared" si="28"/>
        <v>601.4039669067799</v>
      </c>
      <c r="H75" s="139">
        <f t="shared" si="15"/>
        <v>8.6272</v>
      </c>
      <c r="I75" s="165">
        <f t="shared" si="16"/>
        <v>0</v>
      </c>
      <c r="J75" s="274">
        <f t="shared" si="17"/>
        <v>0</v>
      </c>
      <c r="K75" s="165">
        <f t="shared" si="18"/>
        <v>8.6272</v>
      </c>
      <c r="L75" s="270">
        <f t="shared" si="30"/>
        <v>0</v>
      </c>
      <c r="M75" s="139">
        <f t="shared" si="19"/>
        <v>2.32193</v>
      </c>
      <c r="N75" s="165">
        <f t="shared" si="20"/>
        <v>0</v>
      </c>
      <c r="O75" s="165">
        <f t="shared" si="5"/>
        <v>0</v>
      </c>
      <c r="P75" s="165">
        <f t="shared" si="29"/>
        <v>2.32193</v>
      </c>
      <c r="Q75" s="55">
        <f t="shared" si="21"/>
        <v>0</v>
      </c>
      <c r="R75" s="139">
        <f t="shared" si="6"/>
        <v>3.5553500000000002</v>
      </c>
      <c r="S75" s="165">
        <f t="shared" si="7"/>
        <v>0</v>
      </c>
      <c r="T75" s="165">
        <f t="shared" si="8"/>
        <v>3.5553500000000002</v>
      </c>
      <c r="U75" s="254">
        <f t="shared" si="9"/>
        <v>0</v>
      </c>
      <c r="V75" s="139">
        <f t="shared" si="22"/>
        <v>0</v>
      </c>
      <c r="W75" s="142">
        <f t="shared" si="10"/>
        <v>0</v>
      </c>
      <c r="X75" s="165">
        <f t="shared" si="23"/>
        <v>0</v>
      </c>
      <c r="Y75" s="256">
        <f t="shared" si="24"/>
        <v>0</v>
      </c>
      <c r="Z75" s="273">
        <f t="shared" si="11"/>
        <v>0</v>
      </c>
      <c r="AA75" s="142">
        <f t="shared" si="25"/>
        <v>0</v>
      </c>
      <c r="AB75" s="4"/>
      <c r="AC75" s="4"/>
    </row>
    <row r="76" spans="1:29" ht="12.75">
      <c r="A76" s="506" t="s">
        <v>328</v>
      </c>
      <c r="B76" s="139">
        <f t="shared" si="12"/>
        <v>12.370190977412623</v>
      </c>
      <c r="C76" s="165">
        <f t="shared" si="13"/>
        <v>0</v>
      </c>
      <c r="D76" s="165">
        <f t="shared" si="27"/>
        <v>12.370190977412623</v>
      </c>
      <c r="E76" s="55">
        <f t="shared" si="26"/>
        <v>0</v>
      </c>
      <c r="F76" s="139">
        <f t="shared" si="14"/>
        <v>15.8946</v>
      </c>
      <c r="G76" s="142">
        <f t="shared" si="28"/>
        <v>315.8709262388726</v>
      </c>
      <c r="H76" s="139">
        <f t="shared" si="15"/>
        <v>4.5312</v>
      </c>
      <c r="I76" s="165">
        <f t="shared" si="16"/>
        <v>0</v>
      </c>
      <c r="J76" s="274">
        <f t="shared" si="17"/>
        <v>0</v>
      </c>
      <c r="K76" s="165">
        <f t="shared" si="18"/>
        <v>4.5312</v>
      </c>
      <c r="L76" s="270">
        <f t="shared" si="30"/>
        <v>0</v>
      </c>
      <c r="M76" s="139">
        <f t="shared" si="19"/>
        <v>1.2195300000000002</v>
      </c>
      <c r="N76" s="165">
        <f t="shared" si="20"/>
        <v>0</v>
      </c>
      <c r="O76" s="165">
        <f t="shared" si="5"/>
        <v>0</v>
      </c>
      <c r="P76" s="165">
        <f t="shared" si="29"/>
        <v>1.2195300000000002</v>
      </c>
      <c r="Q76" s="55">
        <f t="shared" si="21"/>
        <v>0</v>
      </c>
      <c r="R76" s="139">
        <f t="shared" si="6"/>
        <v>1.86735</v>
      </c>
      <c r="S76" s="165">
        <f t="shared" si="7"/>
        <v>0</v>
      </c>
      <c r="T76" s="165">
        <f t="shared" si="8"/>
        <v>1.86735</v>
      </c>
      <c r="U76" s="254">
        <f t="shared" si="9"/>
        <v>0</v>
      </c>
      <c r="V76" s="139">
        <f t="shared" si="22"/>
        <v>0</v>
      </c>
      <c r="W76" s="142">
        <f t="shared" si="10"/>
        <v>0</v>
      </c>
      <c r="X76" s="165">
        <f t="shared" si="23"/>
        <v>0</v>
      </c>
      <c r="Y76" s="256">
        <f t="shared" si="24"/>
        <v>0</v>
      </c>
      <c r="Z76" s="273">
        <f t="shared" si="11"/>
        <v>0</v>
      </c>
      <c r="AA76" s="142">
        <f t="shared" si="25"/>
        <v>0</v>
      </c>
      <c r="AB76" s="4"/>
      <c r="AC76" s="4"/>
    </row>
    <row r="77" spans="1:29" ht="12.75">
      <c r="A77" s="506" t="s">
        <v>329</v>
      </c>
      <c r="B77" s="139">
        <f t="shared" si="12"/>
        <v>18.31067816995541</v>
      </c>
      <c r="C77" s="165">
        <f t="shared" si="13"/>
        <v>2.6096714145503257</v>
      </c>
      <c r="D77" s="165">
        <f t="shared" si="27"/>
        <v>20.920349584505736</v>
      </c>
      <c r="E77" s="55">
        <f t="shared" si="26"/>
        <v>0</v>
      </c>
      <c r="F77" s="139">
        <f t="shared" si="14"/>
        <v>23.5276</v>
      </c>
      <c r="G77" s="142">
        <f t="shared" si="28"/>
        <v>467.5603540936984</v>
      </c>
      <c r="H77" s="139">
        <f t="shared" si="15"/>
        <v>6.7072</v>
      </c>
      <c r="I77" s="165">
        <f t="shared" si="16"/>
        <v>39.9345</v>
      </c>
      <c r="J77" s="274">
        <f t="shared" si="17"/>
        <v>0</v>
      </c>
      <c r="K77" s="165">
        <f t="shared" si="18"/>
        <v>46.6417</v>
      </c>
      <c r="L77" s="270">
        <f t="shared" si="30"/>
        <v>0</v>
      </c>
      <c r="M77" s="139">
        <f t="shared" si="19"/>
        <v>1.8051800000000002</v>
      </c>
      <c r="N77" s="165">
        <f t="shared" si="20"/>
        <v>0</v>
      </c>
      <c r="O77" s="165">
        <f t="shared" si="5"/>
        <v>0</v>
      </c>
      <c r="P77" s="165">
        <f t="shared" si="29"/>
        <v>1.8051800000000002</v>
      </c>
      <c r="Q77" s="55">
        <f t="shared" si="21"/>
        <v>0</v>
      </c>
      <c r="R77" s="139">
        <f t="shared" si="6"/>
        <v>2.7641</v>
      </c>
      <c r="S77" s="165">
        <f t="shared" si="7"/>
        <v>0</v>
      </c>
      <c r="T77" s="165">
        <f t="shared" si="8"/>
        <v>2.7641</v>
      </c>
      <c r="U77" s="254">
        <f t="shared" si="9"/>
        <v>0</v>
      </c>
      <c r="V77" s="139">
        <f t="shared" si="22"/>
        <v>0</v>
      </c>
      <c r="W77" s="142">
        <f t="shared" si="10"/>
        <v>0</v>
      </c>
      <c r="X77" s="165">
        <f t="shared" si="23"/>
        <v>20.894000000000002</v>
      </c>
      <c r="Y77" s="256">
        <f t="shared" si="24"/>
        <v>0</v>
      </c>
      <c r="Z77" s="273">
        <f t="shared" si="11"/>
        <v>20.894000000000002</v>
      </c>
      <c r="AA77" s="142">
        <f t="shared" si="25"/>
        <v>6.59107738072391</v>
      </c>
      <c r="AB77" s="4"/>
      <c r="AC77" s="4"/>
    </row>
    <row r="78" spans="1:29" ht="12.75">
      <c r="A78" s="506" t="s">
        <v>330</v>
      </c>
      <c r="B78" s="139">
        <f t="shared" si="12"/>
        <v>86.59133684188836</v>
      </c>
      <c r="C78" s="165">
        <f t="shared" si="13"/>
        <v>0</v>
      </c>
      <c r="D78" s="165">
        <f>B78+C78</f>
        <v>86.59133684188836</v>
      </c>
      <c r="E78" s="55">
        <f>D78*$E$65</f>
        <v>0</v>
      </c>
      <c r="F78" s="139">
        <f t="shared" si="14"/>
        <v>111.26219999999999</v>
      </c>
      <c r="G78" s="142">
        <f>F78*$G$65</f>
        <v>2211.0964836721078</v>
      </c>
      <c r="H78" s="139">
        <f t="shared" si="15"/>
        <v>31.7184</v>
      </c>
      <c r="I78" s="165">
        <f t="shared" si="16"/>
        <v>0</v>
      </c>
      <c r="J78" s="274">
        <f t="shared" si="17"/>
        <v>535.0761</v>
      </c>
      <c r="K78" s="165">
        <f t="shared" si="18"/>
        <v>566.7945</v>
      </c>
      <c r="L78" s="270">
        <f t="shared" si="30"/>
        <v>0</v>
      </c>
      <c r="M78" s="139">
        <f t="shared" si="19"/>
        <v>8.536710000000001</v>
      </c>
      <c r="N78" s="165">
        <f t="shared" si="20"/>
        <v>0</v>
      </c>
      <c r="O78" s="165">
        <f t="shared" si="5"/>
        <v>0</v>
      </c>
      <c r="P78" s="165">
        <f>M78+N78+O78</f>
        <v>8.536710000000001</v>
      </c>
      <c r="Q78" s="55">
        <f t="shared" si="21"/>
        <v>0</v>
      </c>
      <c r="R78" s="139">
        <f t="shared" si="6"/>
        <v>13.07145</v>
      </c>
      <c r="S78" s="165">
        <f t="shared" si="7"/>
        <v>0</v>
      </c>
      <c r="T78" s="165">
        <f>R78+S78</f>
        <v>13.07145</v>
      </c>
      <c r="U78" s="254">
        <f t="shared" si="9"/>
        <v>0</v>
      </c>
      <c r="V78" s="139">
        <f t="shared" si="22"/>
        <v>305.8965</v>
      </c>
      <c r="W78" s="142">
        <f t="shared" si="10"/>
        <v>0</v>
      </c>
      <c r="X78" s="165">
        <f t="shared" si="23"/>
        <v>0</v>
      </c>
      <c r="Y78" s="256">
        <f t="shared" si="24"/>
        <v>34.1432</v>
      </c>
      <c r="Z78" s="273">
        <f t="shared" si="11"/>
        <v>34.1432</v>
      </c>
      <c r="AA78" s="142">
        <f t="shared" si="25"/>
        <v>10.770578789390857</v>
      </c>
      <c r="AB78" s="4"/>
      <c r="AC78" s="4"/>
    </row>
    <row r="79" spans="1:29" ht="12.75">
      <c r="A79" s="506" t="s">
        <v>131</v>
      </c>
      <c r="B79" s="139">
        <f t="shared" si="12"/>
        <v>12.719631400503376</v>
      </c>
      <c r="C79" s="165">
        <f t="shared" si="13"/>
        <v>0</v>
      </c>
      <c r="D79" s="165">
        <f t="shared" si="27"/>
        <v>12.719631400503376</v>
      </c>
      <c r="E79" s="55">
        <f t="shared" si="26"/>
        <v>0</v>
      </c>
      <c r="F79" s="139">
        <f t="shared" si="14"/>
        <v>16.343600000000002</v>
      </c>
      <c r="G79" s="142">
        <f>F79*$G$65</f>
        <v>324.7938337597447</v>
      </c>
      <c r="H79" s="139">
        <f t="shared" si="15"/>
        <v>4.6592</v>
      </c>
      <c r="I79" s="165">
        <f t="shared" si="16"/>
        <v>0</v>
      </c>
      <c r="J79" s="274">
        <f t="shared" si="17"/>
        <v>0</v>
      </c>
      <c r="K79" s="165">
        <f t="shared" si="18"/>
        <v>4.6592</v>
      </c>
      <c r="L79" s="270">
        <f t="shared" si="30"/>
        <v>0</v>
      </c>
      <c r="M79" s="139">
        <f t="shared" si="19"/>
        <v>1.25398</v>
      </c>
      <c r="N79" s="165">
        <f t="shared" si="20"/>
        <v>0</v>
      </c>
      <c r="O79" s="165">
        <f t="shared" si="5"/>
        <v>0</v>
      </c>
      <c r="P79" s="165">
        <f t="shared" si="29"/>
        <v>1.25398</v>
      </c>
      <c r="Q79" s="55">
        <f t="shared" si="21"/>
        <v>0</v>
      </c>
      <c r="R79" s="139">
        <f t="shared" si="6"/>
        <v>1.9201000000000001</v>
      </c>
      <c r="S79" s="165">
        <f t="shared" si="7"/>
        <v>0</v>
      </c>
      <c r="T79" s="165">
        <f t="shared" si="8"/>
        <v>1.9201000000000001</v>
      </c>
      <c r="U79" s="254">
        <f t="shared" si="9"/>
        <v>0</v>
      </c>
      <c r="V79" s="139">
        <f t="shared" si="22"/>
        <v>0</v>
      </c>
      <c r="W79" s="142">
        <f t="shared" si="10"/>
        <v>0</v>
      </c>
      <c r="X79" s="165">
        <f t="shared" si="23"/>
        <v>0</v>
      </c>
      <c r="Y79" s="256">
        <f t="shared" si="24"/>
        <v>0</v>
      </c>
      <c r="Z79" s="273">
        <f t="shared" si="11"/>
        <v>0</v>
      </c>
      <c r="AA79" s="142">
        <f t="shared" si="25"/>
        <v>0</v>
      </c>
      <c r="AB79" s="4"/>
      <c r="AC79" s="4"/>
    </row>
    <row r="80" spans="1:29" ht="12.75">
      <c r="A80" s="506" t="s">
        <v>331</v>
      </c>
      <c r="B80" s="139">
        <f t="shared" si="12"/>
        <v>1.3977616923630083</v>
      </c>
      <c r="C80" s="165">
        <f t="shared" si="13"/>
        <v>0</v>
      </c>
      <c r="D80" s="165">
        <f t="shared" si="27"/>
        <v>1.3977616923630083</v>
      </c>
      <c r="E80" s="55">
        <f t="shared" si="26"/>
        <v>0</v>
      </c>
      <c r="F80" s="139">
        <f t="shared" si="14"/>
        <v>1.796</v>
      </c>
      <c r="G80" s="142">
        <f t="shared" si="28"/>
        <v>35.69163008348843</v>
      </c>
      <c r="H80" s="139">
        <f t="shared" si="15"/>
        <v>0.512</v>
      </c>
      <c r="I80" s="165">
        <f t="shared" si="16"/>
        <v>0</v>
      </c>
      <c r="J80" s="274">
        <f t="shared" si="17"/>
        <v>0</v>
      </c>
      <c r="K80" s="165">
        <f t="shared" si="18"/>
        <v>0.512</v>
      </c>
      <c r="L80" s="270">
        <f t="shared" si="30"/>
        <v>0</v>
      </c>
      <c r="M80" s="139">
        <f t="shared" si="19"/>
        <v>0.1378</v>
      </c>
      <c r="N80" s="165">
        <f t="shared" si="20"/>
        <v>54.6021</v>
      </c>
      <c r="O80" s="165">
        <f t="shared" si="5"/>
        <v>0.7133700000000001</v>
      </c>
      <c r="P80" s="165">
        <f t="shared" si="29"/>
        <v>55.453269999999996</v>
      </c>
      <c r="Q80" s="55">
        <f t="shared" si="21"/>
        <v>0</v>
      </c>
      <c r="R80" s="139">
        <f t="shared" si="6"/>
        <v>0.211</v>
      </c>
      <c r="S80" s="165">
        <f t="shared" si="7"/>
        <v>79.36725</v>
      </c>
      <c r="T80" s="165">
        <f t="shared" si="8"/>
        <v>79.57825</v>
      </c>
      <c r="U80" s="254">
        <f t="shared" si="9"/>
        <v>0</v>
      </c>
      <c r="V80" s="139">
        <f t="shared" si="22"/>
        <v>0</v>
      </c>
      <c r="W80" s="142">
        <f t="shared" si="10"/>
        <v>0</v>
      </c>
      <c r="X80" s="165">
        <f t="shared" si="23"/>
        <v>0</v>
      </c>
      <c r="Y80" s="256">
        <f t="shared" si="24"/>
        <v>0</v>
      </c>
      <c r="Z80" s="273">
        <f t="shared" si="11"/>
        <v>0</v>
      </c>
      <c r="AA80" s="142">
        <f t="shared" si="25"/>
        <v>0</v>
      </c>
      <c r="AB80" s="4"/>
      <c r="AC80" s="4"/>
    </row>
    <row r="81" spans="1:29" ht="12.75">
      <c r="A81" s="506" t="s">
        <v>12</v>
      </c>
      <c r="B81" s="139">
        <f t="shared" si="12"/>
        <v>26.417695985660856</v>
      </c>
      <c r="C81" s="165">
        <f t="shared" si="13"/>
        <v>1.4930108270780498</v>
      </c>
      <c r="D81" s="165">
        <f t="shared" si="27"/>
        <v>27.910706812738905</v>
      </c>
      <c r="E81" s="55">
        <f t="shared" si="26"/>
        <v>0</v>
      </c>
      <c r="F81" s="139">
        <f t="shared" si="14"/>
        <v>33.9444</v>
      </c>
      <c r="G81" s="142">
        <f t="shared" si="28"/>
        <v>674.5718085779313</v>
      </c>
      <c r="H81" s="139">
        <f t="shared" si="15"/>
        <v>9.6768</v>
      </c>
      <c r="I81" s="165">
        <f t="shared" si="16"/>
        <v>22.846799999999998</v>
      </c>
      <c r="J81" s="274">
        <f t="shared" si="17"/>
        <v>0</v>
      </c>
      <c r="K81" s="165">
        <f t="shared" si="18"/>
        <v>32.5236</v>
      </c>
      <c r="L81" s="270">
        <f t="shared" si="30"/>
        <v>0</v>
      </c>
      <c r="M81" s="139">
        <f t="shared" si="19"/>
        <v>2.60442</v>
      </c>
      <c r="N81" s="165">
        <f t="shared" si="20"/>
        <v>3.98034</v>
      </c>
      <c r="O81" s="165">
        <f t="shared" si="5"/>
        <v>11.57646</v>
      </c>
      <c r="P81" s="165">
        <f t="shared" si="29"/>
        <v>18.16122</v>
      </c>
      <c r="Q81" s="55">
        <f t="shared" si="21"/>
        <v>0</v>
      </c>
      <c r="R81" s="139">
        <f t="shared" si="6"/>
        <v>3.9879000000000002</v>
      </c>
      <c r="S81" s="165">
        <f t="shared" si="7"/>
        <v>5.78565</v>
      </c>
      <c r="T81" s="165">
        <f t="shared" si="8"/>
        <v>9.77355</v>
      </c>
      <c r="U81" s="254">
        <f t="shared" si="9"/>
        <v>0</v>
      </c>
      <c r="V81" s="139">
        <f t="shared" si="22"/>
        <v>0</v>
      </c>
      <c r="W81" s="142">
        <f t="shared" si="10"/>
        <v>0</v>
      </c>
      <c r="X81" s="165">
        <f t="shared" si="23"/>
        <v>11.9536</v>
      </c>
      <c r="Y81" s="256">
        <f t="shared" si="24"/>
        <v>0</v>
      </c>
      <c r="Z81" s="273">
        <f t="shared" si="11"/>
        <v>11.9536</v>
      </c>
      <c r="AA81" s="142">
        <f t="shared" si="25"/>
        <v>3.7708003531263192</v>
      </c>
      <c r="AB81" s="4"/>
      <c r="AC81" s="4"/>
    </row>
    <row r="82" spans="1:29" ht="12.75">
      <c r="A82" s="506" t="s">
        <v>332</v>
      </c>
      <c r="B82" s="139">
        <f t="shared" si="12"/>
        <v>13.069071823594127</v>
      </c>
      <c r="C82" s="165">
        <f t="shared" si="13"/>
        <v>0.22921742988335206</v>
      </c>
      <c r="D82" s="165">
        <f t="shared" si="27"/>
        <v>13.29828925347748</v>
      </c>
      <c r="E82" s="55">
        <f t="shared" si="26"/>
        <v>0</v>
      </c>
      <c r="F82" s="139">
        <f t="shared" si="14"/>
        <v>16.7926</v>
      </c>
      <c r="G82" s="142">
        <f t="shared" si="28"/>
        <v>333.71674128061676</v>
      </c>
      <c r="H82" s="139">
        <f t="shared" si="15"/>
        <v>4.7872</v>
      </c>
      <c r="I82" s="165">
        <f t="shared" si="16"/>
        <v>3.5076</v>
      </c>
      <c r="J82" s="274">
        <f t="shared" si="17"/>
        <v>0.9918</v>
      </c>
      <c r="K82" s="165">
        <f t="shared" si="18"/>
        <v>9.2866</v>
      </c>
      <c r="L82" s="270">
        <f t="shared" si="30"/>
        <v>0</v>
      </c>
      <c r="M82" s="139">
        <f t="shared" si="19"/>
        <v>1.2884300000000002</v>
      </c>
      <c r="N82" s="165">
        <f t="shared" si="20"/>
        <v>0</v>
      </c>
      <c r="O82" s="165">
        <f t="shared" si="5"/>
        <v>0</v>
      </c>
      <c r="P82" s="165">
        <f t="shared" si="29"/>
        <v>1.2884300000000002</v>
      </c>
      <c r="Q82" s="55">
        <f t="shared" si="21"/>
        <v>0</v>
      </c>
      <c r="R82" s="139">
        <f t="shared" si="6"/>
        <v>1.9728500000000002</v>
      </c>
      <c r="S82" s="165">
        <f t="shared" si="7"/>
        <v>0</v>
      </c>
      <c r="T82" s="165">
        <f t="shared" si="8"/>
        <v>1.9728500000000002</v>
      </c>
      <c r="U82" s="254">
        <f t="shared" si="9"/>
        <v>0</v>
      </c>
      <c r="V82" s="139">
        <f t="shared" si="22"/>
        <v>0.567</v>
      </c>
      <c r="W82" s="142">
        <f t="shared" si="10"/>
        <v>0</v>
      </c>
      <c r="X82" s="165">
        <f t="shared" si="23"/>
        <v>1.8352000000000002</v>
      </c>
      <c r="Y82" s="256">
        <f t="shared" si="24"/>
        <v>0</v>
      </c>
      <c r="Z82" s="273">
        <f t="shared" si="11"/>
        <v>1.8352000000000002</v>
      </c>
      <c r="AA82" s="142">
        <f t="shared" si="25"/>
        <v>0.5789195562891031</v>
      </c>
      <c r="AB82" s="4"/>
      <c r="AC82" s="4"/>
    </row>
    <row r="83" spans="1:29" ht="12.75">
      <c r="A83" s="506" t="s">
        <v>119</v>
      </c>
      <c r="B83" s="139">
        <f t="shared" si="12"/>
        <v>2.935299553962317</v>
      </c>
      <c r="C83" s="165">
        <f t="shared" si="13"/>
        <v>0.1471328097224219</v>
      </c>
      <c r="D83" s="165">
        <f t="shared" si="27"/>
        <v>3.082432363684739</v>
      </c>
      <c r="E83" s="55">
        <f t="shared" si="26"/>
        <v>0</v>
      </c>
      <c r="F83" s="139">
        <f t="shared" si="14"/>
        <v>3.7716</v>
      </c>
      <c r="G83" s="142">
        <f t="shared" si="28"/>
        <v>74.95242317532569</v>
      </c>
      <c r="H83" s="139">
        <f t="shared" si="15"/>
        <v>1.0752</v>
      </c>
      <c r="I83" s="165">
        <f t="shared" si="16"/>
        <v>2.2515</v>
      </c>
      <c r="J83" s="274">
        <f t="shared" si="17"/>
        <v>0</v>
      </c>
      <c r="K83" s="165">
        <f t="shared" si="18"/>
        <v>3.3266999999999998</v>
      </c>
      <c r="L83" s="270">
        <f t="shared" si="30"/>
        <v>0</v>
      </c>
      <c r="M83" s="139">
        <f t="shared" si="19"/>
        <v>0.28938</v>
      </c>
      <c r="N83" s="165">
        <f t="shared" si="20"/>
        <v>0.23814</v>
      </c>
      <c r="O83" s="165">
        <f t="shared" si="5"/>
        <v>1.06554</v>
      </c>
      <c r="P83" s="165">
        <f t="shared" si="29"/>
        <v>1.59306</v>
      </c>
      <c r="Q83" s="55">
        <f t="shared" si="21"/>
        <v>0</v>
      </c>
      <c r="R83" s="139">
        <f t="shared" si="6"/>
        <v>0.4431</v>
      </c>
      <c r="S83" s="165">
        <f t="shared" si="7"/>
        <v>0.34615</v>
      </c>
      <c r="T83" s="165">
        <f t="shared" si="8"/>
        <v>0.78925</v>
      </c>
      <c r="U83" s="254">
        <f t="shared" si="9"/>
        <v>0</v>
      </c>
      <c r="V83" s="139">
        <f t="shared" si="22"/>
        <v>0</v>
      </c>
      <c r="W83" s="142">
        <f t="shared" si="10"/>
        <v>0</v>
      </c>
      <c r="X83" s="165">
        <f t="shared" si="23"/>
        <v>1.178</v>
      </c>
      <c r="Y83" s="256">
        <f t="shared" si="24"/>
        <v>9.4822</v>
      </c>
      <c r="Z83" s="273">
        <f t="shared" si="11"/>
        <v>10.6602</v>
      </c>
      <c r="AA83" s="142">
        <f t="shared" si="25"/>
        <v>3.3627932944382604</v>
      </c>
      <c r="AB83" s="4"/>
      <c r="AC83" s="4"/>
    </row>
    <row r="84" spans="1:29" ht="12.75">
      <c r="A84" s="506" t="s">
        <v>9</v>
      </c>
      <c r="B84" s="139">
        <f t="shared" si="12"/>
        <v>37.040684847619715</v>
      </c>
      <c r="C84" s="165">
        <f t="shared" si="13"/>
        <v>4.768651801424601</v>
      </c>
      <c r="D84" s="165">
        <f t="shared" si="27"/>
        <v>41.80933664904432</v>
      </c>
      <c r="E84" s="55">
        <f t="shared" si="26"/>
        <v>0</v>
      </c>
      <c r="F84" s="139">
        <f t="shared" si="14"/>
        <v>47.594</v>
      </c>
      <c r="G84" s="142">
        <f t="shared" si="28"/>
        <v>945.8281972124433</v>
      </c>
      <c r="H84" s="139">
        <f t="shared" si="15"/>
        <v>13.568</v>
      </c>
      <c r="I84" s="165">
        <f t="shared" si="16"/>
        <v>72.9723</v>
      </c>
      <c r="J84" s="274">
        <f t="shared" si="17"/>
        <v>0</v>
      </c>
      <c r="K84" s="165">
        <f t="shared" si="18"/>
        <v>86.5403</v>
      </c>
      <c r="L84" s="270">
        <f t="shared" si="30"/>
        <v>0</v>
      </c>
      <c r="M84" s="139">
        <f t="shared" si="19"/>
        <v>3.6517000000000004</v>
      </c>
      <c r="N84" s="165">
        <f t="shared" si="20"/>
        <v>0</v>
      </c>
      <c r="O84" s="165">
        <f t="shared" si="5"/>
        <v>46.12524</v>
      </c>
      <c r="P84" s="165">
        <f t="shared" si="29"/>
        <v>49.776939999999996</v>
      </c>
      <c r="Q84" s="55">
        <f t="shared" si="21"/>
        <v>0</v>
      </c>
      <c r="R84" s="139">
        <f t="shared" si="6"/>
        <v>5.5915</v>
      </c>
      <c r="S84" s="165">
        <f t="shared" si="7"/>
        <v>0</v>
      </c>
      <c r="T84" s="165">
        <f t="shared" si="8"/>
        <v>5.5915</v>
      </c>
      <c r="U84" s="254">
        <f t="shared" si="9"/>
        <v>0</v>
      </c>
      <c r="V84" s="139">
        <f t="shared" si="22"/>
        <v>0</v>
      </c>
      <c r="W84" s="142">
        <f t="shared" si="10"/>
        <v>0</v>
      </c>
      <c r="X84" s="165">
        <f t="shared" si="23"/>
        <v>38.1796</v>
      </c>
      <c r="Y84" s="256">
        <f t="shared" si="24"/>
        <v>0</v>
      </c>
      <c r="Z84" s="273">
        <f t="shared" si="11"/>
        <v>38.1796</v>
      </c>
      <c r="AA84" s="142">
        <f t="shared" si="25"/>
        <v>12.043873741987488</v>
      </c>
      <c r="AB84" s="4"/>
      <c r="AC84" s="4"/>
    </row>
    <row r="85" spans="1:29" ht="12.75">
      <c r="A85" s="506" t="s">
        <v>333</v>
      </c>
      <c r="B85" s="139">
        <f t="shared" si="12"/>
        <v>12.859407569739675</v>
      </c>
      <c r="C85" s="165">
        <f t="shared" si="13"/>
        <v>0</v>
      </c>
      <c r="D85" s="165">
        <f t="shared" si="27"/>
        <v>12.859407569739675</v>
      </c>
      <c r="E85" s="55">
        <f t="shared" si="26"/>
        <v>0</v>
      </c>
      <c r="F85" s="139">
        <f t="shared" si="14"/>
        <v>16.5232</v>
      </c>
      <c r="G85" s="142">
        <f t="shared" si="28"/>
        <v>328.3629967680935</v>
      </c>
      <c r="H85" s="139">
        <f t="shared" si="15"/>
        <v>4.7104</v>
      </c>
      <c r="I85" s="165">
        <f t="shared" si="16"/>
        <v>0</v>
      </c>
      <c r="J85" s="274">
        <f t="shared" si="17"/>
        <v>0</v>
      </c>
      <c r="K85" s="165">
        <f t="shared" si="18"/>
        <v>4.7104</v>
      </c>
      <c r="L85" s="270">
        <f t="shared" si="30"/>
        <v>0</v>
      </c>
      <c r="M85" s="139">
        <f t="shared" si="19"/>
        <v>1.26776</v>
      </c>
      <c r="N85" s="165">
        <f t="shared" si="20"/>
        <v>10.10394</v>
      </c>
      <c r="O85" s="165">
        <f t="shared" si="5"/>
        <v>0</v>
      </c>
      <c r="P85" s="165">
        <f t="shared" si="29"/>
        <v>11.3717</v>
      </c>
      <c r="Q85" s="55">
        <f t="shared" si="21"/>
        <v>0</v>
      </c>
      <c r="R85" s="139">
        <f t="shared" si="6"/>
        <v>1.9412</v>
      </c>
      <c r="S85" s="165">
        <f t="shared" si="7"/>
        <v>14.68665</v>
      </c>
      <c r="T85" s="165">
        <f t="shared" si="8"/>
        <v>16.62785</v>
      </c>
      <c r="U85" s="254">
        <f t="shared" si="9"/>
        <v>0</v>
      </c>
      <c r="V85" s="139">
        <f t="shared" si="22"/>
        <v>0</v>
      </c>
      <c r="W85" s="142">
        <f t="shared" si="10"/>
        <v>0</v>
      </c>
      <c r="X85" s="165">
        <f t="shared" si="23"/>
        <v>0</v>
      </c>
      <c r="Y85" s="256">
        <f t="shared" si="24"/>
        <v>0.091</v>
      </c>
      <c r="Z85" s="273">
        <f t="shared" si="11"/>
        <v>0.091</v>
      </c>
      <c r="AA85" s="142">
        <f t="shared" si="25"/>
        <v>0.028706233447203775</v>
      </c>
      <c r="AB85" s="4"/>
      <c r="AC85" s="4"/>
    </row>
    <row r="86" spans="1:29" ht="12.75">
      <c r="A86" s="506" t="s">
        <v>15</v>
      </c>
      <c r="B86" s="139">
        <f t="shared" si="12"/>
        <v>29.21321937038687</v>
      </c>
      <c r="C86" s="165">
        <f t="shared" si="13"/>
        <v>0</v>
      </c>
      <c r="D86" s="165">
        <f t="shared" si="27"/>
        <v>29.21321937038687</v>
      </c>
      <c r="E86" s="55">
        <f t="shared" si="26"/>
        <v>0</v>
      </c>
      <c r="F86" s="139">
        <f t="shared" si="14"/>
        <v>37.5364</v>
      </c>
      <c r="G86" s="142">
        <f t="shared" si="28"/>
        <v>745.9550687449081</v>
      </c>
      <c r="H86" s="139">
        <f t="shared" si="15"/>
        <v>10.7008</v>
      </c>
      <c r="I86" s="165">
        <f t="shared" si="16"/>
        <v>0</v>
      </c>
      <c r="J86" s="274">
        <f t="shared" si="17"/>
        <v>14.9321</v>
      </c>
      <c r="K86" s="165">
        <f t="shared" si="18"/>
        <v>25.6329</v>
      </c>
      <c r="L86" s="270">
        <f>K86*$L$65</f>
        <v>0</v>
      </c>
      <c r="M86" s="139">
        <f t="shared" si="19"/>
        <v>2.88002</v>
      </c>
      <c r="N86" s="165">
        <f t="shared" si="20"/>
        <v>3.53808</v>
      </c>
      <c r="O86" s="165">
        <f t="shared" si="5"/>
        <v>0.51471</v>
      </c>
      <c r="P86" s="165">
        <f>M86+N86+O86</f>
        <v>6.93281</v>
      </c>
      <c r="Q86" s="55">
        <f t="shared" si="21"/>
        <v>0</v>
      </c>
      <c r="R86" s="139">
        <f t="shared" si="6"/>
        <v>4.4098999999999995</v>
      </c>
      <c r="S86" s="165">
        <f t="shared" si="7"/>
        <v>5.142799999999999</v>
      </c>
      <c r="T86" s="165">
        <f t="shared" si="8"/>
        <v>9.552699999999998</v>
      </c>
      <c r="U86" s="254">
        <f t="shared" si="9"/>
        <v>0</v>
      </c>
      <c r="V86" s="139">
        <f t="shared" si="22"/>
        <v>8.5365</v>
      </c>
      <c r="W86" s="142">
        <f t="shared" si="10"/>
        <v>0</v>
      </c>
      <c r="X86" s="165">
        <f t="shared" si="23"/>
        <v>0</v>
      </c>
      <c r="Y86" s="256">
        <f t="shared" si="24"/>
        <v>0</v>
      </c>
      <c r="Z86" s="273">
        <f t="shared" si="11"/>
        <v>0</v>
      </c>
      <c r="AA86" s="142">
        <f t="shared" si="25"/>
        <v>0</v>
      </c>
      <c r="AB86" s="4"/>
      <c r="AC86" s="4"/>
    </row>
    <row r="87" spans="1:29" ht="12.75">
      <c r="A87" s="506" t="s">
        <v>334</v>
      </c>
      <c r="B87" s="139">
        <f t="shared" si="12"/>
        <v>31.170085739695086</v>
      </c>
      <c r="C87" s="165">
        <f t="shared" si="13"/>
        <v>2.541525692152572</v>
      </c>
      <c r="D87" s="165">
        <f>B87+C87</f>
        <v>33.71161143184766</v>
      </c>
      <c r="E87" s="55">
        <f>D87*$E$65</f>
        <v>0</v>
      </c>
      <c r="F87" s="139">
        <f t="shared" si="14"/>
        <v>40.0508</v>
      </c>
      <c r="G87" s="142">
        <f>F87*$G$65</f>
        <v>795.923350861792</v>
      </c>
      <c r="H87" s="139">
        <f t="shared" si="15"/>
        <v>11.4176</v>
      </c>
      <c r="I87" s="165">
        <f t="shared" si="16"/>
        <v>38.8917</v>
      </c>
      <c r="J87" s="274">
        <f t="shared" si="17"/>
        <v>0</v>
      </c>
      <c r="K87" s="165">
        <f t="shared" si="18"/>
        <v>50.3093</v>
      </c>
      <c r="L87" s="270">
        <f>K87*$L$65</f>
        <v>0</v>
      </c>
      <c r="M87" s="139">
        <f t="shared" si="19"/>
        <v>3.0729400000000004</v>
      </c>
      <c r="N87" s="165">
        <f t="shared" si="20"/>
        <v>0</v>
      </c>
      <c r="O87" s="165">
        <f t="shared" si="5"/>
        <v>0</v>
      </c>
      <c r="P87" s="165">
        <f>M87+N87+O87</f>
        <v>3.0729400000000004</v>
      </c>
      <c r="Q87" s="55">
        <f t="shared" si="21"/>
        <v>0</v>
      </c>
      <c r="R87" s="139">
        <f t="shared" si="6"/>
        <v>4.7053</v>
      </c>
      <c r="S87" s="165">
        <f t="shared" si="7"/>
        <v>0</v>
      </c>
      <c r="T87" s="165">
        <f>R87+S87</f>
        <v>4.7053</v>
      </c>
      <c r="U87" s="254">
        <f t="shared" si="9"/>
        <v>0</v>
      </c>
      <c r="V87" s="139">
        <f t="shared" si="22"/>
        <v>0</v>
      </c>
      <c r="W87" s="142">
        <f t="shared" si="10"/>
        <v>0</v>
      </c>
      <c r="X87" s="165">
        <f t="shared" si="23"/>
        <v>20.348399999999998</v>
      </c>
      <c r="Y87" s="256">
        <f t="shared" si="24"/>
        <v>0</v>
      </c>
      <c r="Z87" s="273">
        <f t="shared" si="11"/>
        <v>20.348399999999998</v>
      </c>
      <c r="AA87" s="142">
        <f t="shared" si="25"/>
        <v>6.418966161286607</v>
      </c>
      <c r="AB87" s="4"/>
      <c r="AC87" s="4"/>
    </row>
    <row r="88" spans="1:29" ht="12.75">
      <c r="A88" s="506" t="s">
        <v>335</v>
      </c>
      <c r="B88" s="139">
        <f t="shared" si="12"/>
        <v>43.47038863248955</v>
      </c>
      <c r="C88" s="165">
        <f t="shared" si="13"/>
        <v>2.179114350309975</v>
      </c>
      <c r="D88" s="165">
        <f t="shared" si="27"/>
        <v>45.649502982799525</v>
      </c>
      <c r="E88" s="55">
        <f t="shared" si="26"/>
        <v>0</v>
      </c>
      <c r="F88" s="139">
        <f t="shared" si="14"/>
        <v>55.855599999999995</v>
      </c>
      <c r="G88" s="142">
        <f t="shared" si="28"/>
        <v>1110.00969559649</v>
      </c>
      <c r="H88" s="139">
        <f t="shared" si="15"/>
        <v>15.9232</v>
      </c>
      <c r="I88" s="165">
        <f t="shared" si="16"/>
        <v>33.3459</v>
      </c>
      <c r="J88" s="274">
        <f t="shared" si="17"/>
        <v>0</v>
      </c>
      <c r="K88" s="165">
        <f t="shared" si="18"/>
        <v>49.2691</v>
      </c>
      <c r="L88" s="270">
        <f>K88*$L$65</f>
        <v>0</v>
      </c>
      <c r="M88" s="139">
        <f t="shared" si="19"/>
        <v>4.28558</v>
      </c>
      <c r="N88" s="165">
        <f t="shared" si="20"/>
        <v>238.68431999999999</v>
      </c>
      <c r="O88" s="165">
        <f t="shared" si="5"/>
        <v>28.408379999999998</v>
      </c>
      <c r="P88" s="165">
        <f>M88+N88+O88</f>
        <v>271.37828</v>
      </c>
      <c r="Q88" s="55">
        <f t="shared" si="21"/>
        <v>0</v>
      </c>
      <c r="R88" s="139">
        <f t="shared" si="6"/>
        <v>6.5621</v>
      </c>
      <c r="S88" s="165">
        <f t="shared" si="7"/>
        <v>346.9412</v>
      </c>
      <c r="T88" s="165">
        <f t="shared" si="8"/>
        <v>353.50329999999997</v>
      </c>
      <c r="U88" s="254">
        <f t="shared" si="9"/>
        <v>0</v>
      </c>
      <c r="V88" s="139">
        <f t="shared" si="22"/>
        <v>0</v>
      </c>
      <c r="W88" s="142">
        <f t="shared" si="10"/>
        <v>0</v>
      </c>
      <c r="X88" s="165">
        <f t="shared" si="23"/>
        <v>17.4468</v>
      </c>
      <c r="Y88" s="256">
        <f t="shared" si="24"/>
        <v>0</v>
      </c>
      <c r="Z88" s="273">
        <f t="shared" si="11"/>
        <v>17.4468</v>
      </c>
      <c r="AA88" s="142">
        <f t="shared" si="25"/>
        <v>5.503647403370053</v>
      </c>
      <c r="AB88" s="4"/>
      <c r="AC88" s="4"/>
    </row>
    <row r="89" spans="1:29" ht="12.75">
      <c r="A89" s="506" t="s">
        <v>336</v>
      </c>
      <c r="B89" s="139">
        <f t="shared" si="12"/>
        <v>1.7472021154537603</v>
      </c>
      <c r="C89" s="165">
        <f t="shared" si="13"/>
        <v>0.08053585374279937</v>
      </c>
      <c r="D89" s="165">
        <f t="shared" si="27"/>
        <v>1.8277379691965596</v>
      </c>
      <c r="E89" s="55">
        <f t="shared" si="26"/>
        <v>0</v>
      </c>
      <c r="F89" s="139">
        <f t="shared" si="14"/>
        <v>2.245</v>
      </c>
      <c r="G89" s="142">
        <f t="shared" si="28"/>
        <v>44.614537604360535</v>
      </c>
      <c r="H89" s="139">
        <f t="shared" si="15"/>
        <v>0.64</v>
      </c>
      <c r="I89" s="165">
        <f t="shared" si="16"/>
        <v>1.2324</v>
      </c>
      <c r="J89" s="274">
        <f t="shared" si="17"/>
        <v>0</v>
      </c>
      <c r="K89" s="165">
        <f t="shared" si="18"/>
        <v>1.8723999999999998</v>
      </c>
      <c r="L89" s="270">
        <f>K89*$L$65</f>
        <v>0</v>
      </c>
      <c r="M89" s="139">
        <f t="shared" si="19"/>
        <v>0.17225000000000001</v>
      </c>
      <c r="N89" s="165">
        <f t="shared" si="20"/>
        <v>9.457559999999999</v>
      </c>
      <c r="O89" s="165">
        <f t="shared" si="5"/>
        <v>1.12875</v>
      </c>
      <c r="P89" s="165">
        <f>M89+N89+O89</f>
        <v>10.75856</v>
      </c>
      <c r="Q89" s="55">
        <f t="shared" si="21"/>
        <v>0</v>
      </c>
      <c r="R89" s="139">
        <f t="shared" si="6"/>
        <v>0.26375</v>
      </c>
      <c r="S89" s="165">
        <f t="shared" si="7"/>
        <v>13.7471</v>
      </c>
      <c r="T89" s="165">
        <f t="shared" si="8"/>
        <v>14.01085</v>
      </c>
      <c r="U89" s="254">
        <f t="shared" si="9"/>
        <v>0</v>
      </c>
      <c r="V89" s="139">
        <f t="shared" si="22"/>
        <v>0</v>
      </c>
      <c r="W89" s="142">
        <f t="shared" si="10"/>
        <v>0</v>
      </c>
      <c r="X89" s="165">
        <f t="shared" si="23"/>
        <v>0.6447999999999999</v>
      </c>
      <c r="Y89" s="256">
        <f t="shared" si="24"/>
        <v>0</v>
      </c>
      <c r="Z89" s="273">
        <f t="shared" si="11"/>
        <v>0.6447999999999999</v>
      </c>
      <c r="AA89" s="142">
        <f t="shared" si="25"/>
        <v>0.20340416842590103</v>
      </c>
      <c r="AB89" s="4"/>
      <c r="AC89" s="4"/>
    </row>
    <row r="90" spans="1:29" ht="13.5" thickBot="1">
      <c r="A90" s="507" t="s">
        <v>337</v>
      </c>
      <c r="B90" s="145">
        <f t="shared" si="12"/>
        <v>1.3977616923630083</v>
      </c>
      <c r="C90" s="519">
        <f t="shared" si="13"/>
        <v>0.04491422612579195</v>
      </c>
      <c r="D90" s="519">
        <f>B90+C90</f>
        <v>1.4426759184888003</v>
      </c>
      <c r="E90" s="173">
        <f>D90*$E$65</f>
        <v>0</v>
      </c>
      <c r="F90" s="145">
        <f t="shared" si="14"/>
        <v>1.796</v>
      </c>
      <c r="G90" s="520">
        <f t="shared" si="28"/>
        <v>35.69163008348843</v>
      </c>
      <c r="H90" s="145">
        <f t="shared" si="15"/>
        <v>0.512</v>
      </c>
      <c r="I90" s="519">
        <f t="shared" si="16"/>
        <v>0.6872999999999999</v>
      </c>
      <c r="J90" s="521">
        <f t="shared" si="17"/>
        <v>0</v>
      </c>
      <c r="K90" s="519">
        <f t="shared" si="18"/>
        <v>1.1993</v>
      </c>
      <c r="L90" s="522">
        <f>K90*$L$65</f>
        <v>0</v>
      </c>
      <c r="M90" s="145">
        <f t="shared" si="19"/>
        <v>0.1378</v>
      </c>
      <c r="N90" s="519">
        <f t="shared" si="20"/>
        <v>7.17822</v>
      </c>
      <c r="O90" s="519">
        <f t="shared" si="5"/>
        <v>0.7675500000000001</v>
      </c>
      <c r="P90" s="519">
        <f>M90+N90+O90</f>
        <v>8.08357</v>
      </c>
      <c r="Q90" s="173">
        <f t="shared" si="21"/>
        <v>0</v>
      </c>
      <c r="R90" s="145">
        <f t="shared" si="6"/>
        <v>0.211</v>
      </c>
      <c r="S90" s="519">
        <f t="shared" si="7"/>
        <v>10.433950000000001</v>
      </c>
      <c r="T90" s="519">
        <f>R90+S90</f>
        <v>10.644950000000001</v>
      </c>
      <c r="U90" s="523">
        <f t="shared" si="9"/>
        <v>0</v>
      </c>
      <c r="V90" s="145">
        <f t="shared" si="22"/>
        <v>0</v>
      </c>
      <c r="W90" s="520">
        <f t="shared" si="10"/>
        <v>0</v>
      </c>
      <c r="X90" s="519">
        <f t="shared" si="23"/>
        <v>0.3596</v>
      </c>
      <c r="Y90" s="524">
        <f t="shared" si="24"/>
        <v>0</v>
      </c>
      <c r="Z90" s="525">
        <f t="shared" si="11"/>
        <v>0.3596</v>
      </c>
      <c r="AA90" s="520">
        <f t="shared" si="25"/>
        <v>0.11343694008367558</v>
      </c>
      <c r="AB90" s="4"/>
      <c r="AC90" s="4"/>
    </row>
    <row r="91" spans="1:29" ht="13.5" thickBot="1">
      <c r="A91" s="155" t="s">
        <v>50</v>
      </c>
      <c r="B91" s="147">
        <f>SUM(B67:B90)</f>
        <v>698.880846181504</v>
      </c>
      <c r="C91" s="526">
        <f aca="true" t="shared" si="31" ref="C91:X91">SUM(C67:C90)</f>
        <v>15.48766418130757</v>
      </c>
      <c r="D91" s="526">
        <f>SUM(D67:D90)</f>
        <v>714.3685103628117</v>
      </c>
      <c r="E91" s="527">
        <f t="shared" si="31"/>
        <v>0</v>
      </c>
      <c r="F91" s="147">
        <f t="shared" si="31"/>
        <v>898.0000000000001</v>
      </c>
      <c r="G91" s="527">
        <f t="shared" si="31"/>
        <v>17845.81504174422</v>
      </c>
      <c r="H91" s="147">
        <f>SUM(H67:H90)</f>
        <v>255.99999999999997</v>
      </c>
      <c r="I91" s="526">
        <f t="shared" si="31"/>
        <v>237</v>
      </c>
      <c r="J91" s="528">
        <f>SUM(J67:J90)</f>
        <v>551</v>
      </c>
      <c r="K91" s="526">
        <f>SUM(K67:K90)</f>
        <v>1044</v>
      </c>
      <c r="L91" s="529">
        <f>SUM(L67:L90)</f>
        <v>0</v>
      </c>
      <c r="M91" s="147">
        <f t="shared" si="31"/>
        <v>68.9</v>
      </c>
      <c r="N91" s="526">
        <f t="shared" si="31"/>
        <v>340.2</v>
      </c>
      <c r="O91" s="526">
        <f t="shared" si="31"/>
        <v>90.3</v>
      </c>
      <c r="P91" s="526">
        <f>SUM(P67:P90)</f>
        <v>499.4</v>
      </c>
      <c r="Q91" s="527">
        <f t="shared" si="31"/>
        <v>0</v>
      </c>
      <c r="R91" s="147">
        <f t="shared" si="31"/>
        <v>105.49999999999999</v>
      </c>
      <c r="S91" s="526">
        <f t="shared" si="31"/>
        <v>494.49999999999994</v>
      </c>
      <c r="T91" s="526">
        <f t="shared" si="31"/>
        <v>600</v>
      </c>
      <c r="U91" s="530">
        <f t="shared" si="31"/>
        <v>0</v>
      </c>
      <c r="V91" s="147">
        <f t="shared" si="31"/>
        <v>315</v>
      </c>
      <c r="W91" s="527">
        <f>SUM(W67:W90)</f>
        <v>0</v>
      </c>
      <c r="X91" s="147">
        <f t="shared" si="31"/>
        <v>124</v>
      </c>
      <c r="Y91" s="531">
        <f>SUM(Y67:Y90)</f>
        <v>182.00000000000003</v>
      </c>
      <c r="Z91" s="526">
        <f>SUM(Z67:Z90)</f>
        <v>306</v>
      </c>
      <c r="AA91" s="527">
        <f>SUM(AA67:AA90)</f>
        <v>96.52865313015775</v>
      </c>
      <c r="AB91" s="4"/>
      <c r="AC91" s="4"/>
    </row>
    <row r="92" spans="1:25" ht="12.75">
      <c r="A92" s="169" t="s">
        <v>73</v>
      </c>
      <c r="B92" s="41"/>
      <c r="C92" s="41"/>
      <c r="D92" s="41"/>
      <c r="E92" s="38"/>
      <c r="F92" s="41"/>
      <c r="G92" s="38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4"/>
      <c r="Y92" s="4"/>
    </row>
    <row r="93" spans="1:25" ht="12.75">
      <c r="A93" s="137" t="s">
        <v>78</v>
      </c>
      <c r="B93" s="179"/>
      <c r="C93" s="179"/>
      <c r="D93" s="42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4"/>
      <c r="Y93" s="4"/>
    </row>
    <row r="94" spans="1:25" ht="12.75">
      <c r="A94" s="137" t="s">
        <v>81</v>
      </c>
      <c r="B94" s="179"/>
      <c r="C94" s="179"/>
      <c r="D94" s="4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4"/>
      <c r="Y94" s="4"/>
    </row>
    <row r="95" spans="1:23" ht="13.5" thickBo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1:23" ht="16.5" thickBot="1">
      <c r="A96" s="198" t="s">
        <v>65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1:23" ht="76.5">
      <c r="A97" s="170" t="s">
        <v>3</v>
      </c>
      <c r="B97" s="122" t="s">
        <v>82</v>
      </c>
      <c r="C97" s="124" t="s">
        <v>113</v>
      </c>
      <c r="D97" s="31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1:23" ht="12.75">
      <c r="A98" s="51" t="s">
        <v>29</v>
      </c>
      <c r="B98" s="54">
        <f>C27*E65</f>
        <v>0</v>
      </c>
      <c r="C98" s="55">
        <f>(C13+C20)*E65</f>
        <v>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1:23" ht="12.75">
      <c r="A99" s="51" t="s">
        <v>35</v>
      </c>
      <c r="B99" s="54">
        <f>D27*G65</f>
        <v>0</v>
      </c>
      <c r="C99" s="55">
        <f>(D13+D20)*G65</f>
        <v>17845.815041744212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1:23" ht="12.75">
      <c r="A100" s="51" t="s">
        <v>5</v>
      </c>
      <c r="B100" s="54">
        <f>E27*J65</f>
        <v>0</v>
      </c>
      <c r="C100" s="55">
        <f>(E13+E20)*J65</f>
        <v>0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23" ht="12.75">
      <c r="A101" s="171" t="s">
        <v>8</v>
      </c>
      <c r="B101" s="54">
        <f>F27*Q65</f>
        <v>0</v>
      </c>
      <c r="C101" s="55">
        <f>(F13+F20)*Q65</f>
        <v>0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1:23" ht="12.75">
      <c r="A102" s="171" t="s">
        <v>36</v>
      </c>
      <c r="B102" s="54">
        <f>G27*U65</f>
        <v>0</v>
      </c>
      <c r="C102" s="55">
        <f>(G13+G20)*U65</f>
        <v>0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1:23" ht="12.75">
      <c r="A103" s="171" t="s">
        <v>37</v>
      </c>
      <c r="B103" s="172">
        <f>I27*AC65</f>
        <v>0</v>
      </c>
      <c r="C103" s="55">
        <f>(I13+I20)*AC65</f>
        <v>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ht="12.75">
      <c r="A104" s="171" t="s">
        <v>15</v>
      </c>
      <c r="B104" s="172">
        <f>J27*W65</f>
        <v>0</v>
      </c>
      <c r="C104" s="55">
        <f>(J13+J20)*W65</f>
        <v>0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ht="13.5" thickBot="1">
      <c r="A105" s="171" t="s">
        <v>11</v>
      </c>
      <c r="B105" s="172">
        <f>K27*AA65</f>
        <v>20.72526964265152</v>
      </c>
      <c r="C105" s="173">
        <f>(K13+K20)*AA65</f>
        <v>96.52865313015775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  <row r="106" spans="1:23" ht="13.5" thickBot="1">
      <c r="A106" s="532" t="s">
        <v>50</v>
      </c>
      <c r="B106" s="533">
        <f>SUM(B98:B105)</f>
        <v>20.72526964265152</v>
      </c>
      <c r="C106" s="534">
        <f>SUM(C98:C105)</f>
        <v>17942.34369487437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</row>
    <row r="107" spans="1:23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1:23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1:23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1:23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1:23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</row>
  </sheetData>
  <sheetProtection/>
  <mergeCells count="19">
    <mergeCell ref="AB66:AC66"/>
    <mergeCell ref="R64:U64"/>
    <mergeCell ref="V64:W64"/>
    <mergeCell ref="X64:AA64"/>
    <mergeCell ref="B65:D65"/>
    <mergeCell ref="H65:K65"/>
    <mergeCell ref="M65:P65"/>
    <mergeCell ref="R65:T65"/>
    <mergeCell ref="X65:Z65"/>
    <mergeCell ref="A3:A4"/>
    <mergeCell ref="A30:K30"/>
    <mergeCell ref="AB64:AC64"/>
    <mergeCell ref="M64:Q64"/>
    <mergeCell ref="A60:G60"/>
    <mergeCell ref="I60:L60"/>
    <mergeCell ref="A63:A65"/>
    <mergeCell ref="B64:E64"/>
    <mergeCell ref="F64:G64"/>
    <mergeCell ref="H64:L64"/>
  </mergeCells>
  <printOptions/>
  <pageMargins left="0.5" right="0.5" top="0.5" bottom="0.5" header="0.3" footer="0.3"/>
  <pageSetup fitToHeight="1" fitToWidth="1" horizontalDpi="600" verticalDpi="600" orientation="landscape" paperSize="17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6" width="16.7109375" style="0" customWidth="1"/>
  </cols>
  <sheetData>
    <row r="1" spans="1:10" ht="18.75">
      <c r="A1" s="313" t="s">
        <v>342</v>
      </c>
      <c r="B1" s="4"/>
      <c r="C1" s="4"/>
      <c r="D1" s="4"/>
      <c r="E1" s="4"/>
      <c r="F1" s="4"/>
      <c r="G1" s="4"/>
      <c r="H1" s="4"/>
      <c r="I1" s="4"/>
      <c r="J1" s="4"/>
    </row>
    <row r="2" spans="1:8" ht="18.75">
      <c r="A2" s="3"/>
      <c r="B2" s="7"/>
      <c r="C2" s="4" t="s">
        <v>24</v>
      </c>
      <c r="D2" s="4" t="s">
        <v>24</v>
      </c>
      <c r="E2" s="357" t="s">
        <v>24</v>
      </c>
      <c r="F2" s="358"/>
      <c r="G2" s="16"/>
      <c r="H2" s="4"/>
    </row>
    <row r="3" spans="1:10" ht="15.75">
      <c r="A3" s="685" t="s">
        <v>58</v>
      </c>
      <c r="B3" s="685"/>
      <c r="C3" s="359"/>
      <c r="D3" s="359"/>
      <c r="E3" s="359"/>
      <c r="F3" s="359"/>
      <c r="G3" s="359"/>
      <c r="H3" s="359"/>
      <c r="I3" s="360" t="s">
        <v>24</v>
      </c>
      <c r="J3" s="360"/>
    </row>
    <row r="4" spans="1:16" ht="51">
      <c r="A4" s="539" t="s">
        <v>151</v>
      </c>
      <c r="B4" s="203" t="s">
        <v>155</v>
      </c>
      <c r="C4" s="203" t="s">
        <v>157</v>
      </c>
      <c r="D4" s="536" t="s">
        <v>171</v>
      </c>
      <c r="E4" s="203" t="s">
        <v>262</v>
      </c>
      <c r="F4" s="536" t="s">
        <v>176</v>
      </c>
      <c r="G4" s="203" t="s">
        <v>177</v>
      </c>
      <c r="H4" s="536" t="s">
        <v>211</v>
      </c>
      <c r="I4" s="330"/>
      <c r="J4" s="330"/>
      <c r="K4" s="330"/>
      <c r="L4" s="330"/>
      <c r="M4" s="330"/>
      <c r="N4" s="330"/>
      <c r="O4" s="330"/>
      <c r="P4" s="330"/>
    </row>
    <row r="5" spans="1:16" ht="12.75">
      <c r="A5" s="226" t="s">
        <v>6</v>
      </c>
      <c r="B5" s="33">
        <v>32.87</v>
      </c>
      <c r="C5" s="33">
        <v>0</v>
      </c>
      <c r="D5" s="182">
        <f>B5+C5</f>
        <v>32.87</v>
      </c>
      <c r="E5" s="299">
        <v>-22.86</v>
      </c>
      <c r="F5" s="182">
        <f>D5+E5</f>
        <v>10.009999999999998</v>
      </c>
      <c r="G5" s="299">
        <v>0</v>
      </c>
      <c r="H5" s="182">
        <f>F5+G5</f>
        <v>10.009999999999998</v>
      </c>
      <c r="I5" s="25" t="s">
        <v>24</v>
      </c>
      <c r="J5" s="361" t="s">
        <v>24</v>
      </c>
      <c r="K5" s="35"/>
      <c r="L5" s="35"/>
      <c r="M5" s="362"/>
      <c r="N5" s="35"/>
      <c r="O5" s="362"/>
      <c r="P5" s="35"/>
    </row>
    <row r="6" spans="1:16" ht="12.75">
      <c r="A6" s="226" t="s">
        <v>29</v>
      </c>
      <c r="B6" s="33">
        <f>$B$5</f>
        <v>32.87</v>
      </c>
      <c r="C6" s="33">
        <v>0</v>
      </c>
      <c r="D6" s="182">
        <f>B6+C6</f>
        <v>32.87</v>
      </c>
      <c r="E6" s="299">
        <v>-22.86</v>
      </c>
      <c r="F6" s="182">
        <f aca="true" t="shared" si="0" ref="F6:F17">D6+E6</f>
        <v>10.009999999999998</v>
      </c>
      <c r="G6" s="299">
        <v>0</v>
      </c>
      <c r="H6" s="182">
        <f aca="true" t="shared" si="1" ref="H6:H17">F6+G6</f>
        <v>10.009999999999998</v>
      </c>
      <c r="I6" s="25"/>
      <c r="J6" s="35"/>
      <c r="K6" s="35"/>
      <c r="L6" s="35"/>
      <c r="M6" s="362"/>
      <c r="N6" s="35"/>
      <c r="O6" s="362"/>
      <c r="P6" s="35"/>
    </row>
    <row r="7" spans="1:16" ht="12.75">
      <c r="A7" s="226" t="s">
        <v>35</v>
      </c>
      <c r="B7" s="33">
        <f aca="true" t="shared" si="2" ref="B7:B17">$B$5</f>
        <v>32.87</v>
      </c>
      <c r="C7" s="33">
        <v>0</v>
      </c>
      <c r="D7" s="182">
        <f>B7+C6+C7</f>
        <v>32.87</v>
      </c>
      <c r="E7" s="299">
        <v>-22.86</v>
      </c>
      <c r="F7" s="182">
        <f t="shared" si="0"/>
        <v>10.009999999999998</v>
      </c>
      <c r="G7" s="299">
        <v>0</v>
      </c>
      <c r="H7" s="182">
        <f t="shared" si="1"/>
        <v>10.009999999999998</v>
      </c>
      <c r="I7" s="25"/>
      <c r="J7" s="35"/>
      <c r="K7" s="35"/>
      <c r="L7" s="35"/>
      <c r="M7" s="362"/>
      <c r="N7" s="35"/>
      <c r="O7" s="362"/>
      <c r="P7" s="35"/>
    </row>
    <row r="8" spans="1:16" ht="12.75">
      <c r="A8" s="226" t="s">
        <v>5</v>
      </c>
      <c r="B8" s="33">
        <f t="shared" si="2"/>
        <v>32.87</v>
      </c>
      <c r="C8" s="33">
        <v>0</v>
      </c>
      <c r="D8" s="182">
        <f>B8+C6+C8</f>
        <v>32.87</v>
      </c>
      <c r="E8" s="299">
        <v>-22.86</v>
      </c>
      <c r="F8" s="182">
        <f t="shared" si="0"/>
        <v>10.009999999999998</v>
      </c>
      <c r="G8" s="299">
        <v>0</v>
      </c>
      <c r="H8" s="182">
        <f t="shared" si="1"/>
        <v>10.009999999999998</v>
      </c>
      <c r="I8" s="25"/>
      <c r="J8" s="35"/>
      <c r="K8" s="35"/>
      <c r="L8" s="35"/>
      <c r="M8" s="362"/>
      <c r="N8" s="35"/>
      <c r="O8" s="362"/>
      <c r="P8" s="35"/>
    </row>
    <row r="9" spans="1:16" ht="12.75">
      <c r="A9" s="226" t="s">
        <v>8</v>
      </c>
      <c r="B9" s="33">
        <f t="shared" si="2"/>
        <v>32.87</v>
      </c>
      <c r="C9" s="33">
        <v>0</v>
      </c>
      <c r="D9" s="182">
        <f>B9+C6+C7+C9</f>
        <v>32.87</v>
      </c>
      <c r="E9" s="299">
        <v>-22.86</v>
      </c>
      <c r="F9" s="182">
        <f t="shared" si="0"/>
        <v>10.009999999999998</v>
      </c>
      <c r="G9" s="299">
        <v>0</v>
      </c>
      <c r="H9" s="182">
        <f t="shared" si="1"/>
        <v>10.009999999999998</v>
      </c>
      <c r="I9" s="25"/>
      <c r="J9" s="35"/>
      <c r="K9" s="35"/>
      <c r="L9" s="35"/>
      <c r="M9" s="362"/>
      <c r="N9" s="35"/>
      <c r="O9" s="362"/>
      <c r="P9" s="35"/>
    </row>
    <row r="10" spans="1:16" ht="12.75">
      <c r="A10" s="226" t="s">
        <v>36</v>
      </c>
      <c r="B10" s="33">
        <f t="shared" si="2"/>
        <v>32.87</v>
      </c>
      <c r="C10" s="33">
        <v>0</v>
      </c>
      <c r="D10" s="182">
        <f>B10+C6+C7+C9+C10</f>
        <v>32.87</v>
      </c>
      <c r="E10" s="299">
        <v>-22.86</v>
      </c>
      <c r="F10" s="182">
        <f t="shared" si="0"/>
        <v>10.009999999999998</v>
      </c>
      <c r="G10" s="299">
        <v>0</v>
      </c>
      <c r="H10" s="182">
        <f t="shared" si="1"/>
        <v>10.009999999999998</v>
      </c>
      <c r="I10" s="25"/>
      <c r="J10" s="35"/>
      <c r="K10" s="35"/>
      <c r="L10" s="35"/>
      <c r="M10" s="362"/>
      <c r="N10" s="35"/>
      <c r="O10" s="362"/>
      <c r="P10" s="35"/>
    </row>
    <row r="11" spans="1:16" ht="12.75">
      <c r="A11" s="226" t="s">
        <v>37</v>
      </c>
      <c r="B11" s="33">
        <f t="shared" si="2"/>
        <v>32.87</v>
      </c>
      <c r="C11" s="33">
        <v>0</v>
      </c>
      <c r="D11" s="182">
        <f>B11+C6+C7+C11</f>
        <v>32.87</v>
      </c>
      <c r="E11" s="299">
        <v>-22.86</v>
      </c>
      <c r="F11" s="182">
        <f t="shared" si="0"/>
        <v>10.009999999999998</v>
      </c>
      <c r="G11" s="299">
        <v>0</v>
      </c>
      <c r="H11" s="182">
        <f t="shared" si="1"/>
        <v>10.009999999999998</v>
      </c>
      <c r="I11" s="25"/>
      <c r="J11" s="35"/>
      <c r="K11" s="35"/>
      <c r="L11" s="35"/>
      <c r="M11" s="362"/>
      <c r="N11" s="35"/>
      <c r="O11" s="362"/>
      <c r="P11" s="35"/>
    </row>
    <row r="12" spans="1:16" ht="12.75">
      <c r="A12" s="24" t="s">
        <v>15</v>
      </c>
      <c r="B12" s="33">
        <f t="shared" si="2"/>
        <v>32.87</v>
      </c>
      <c r="C12" s="37">
        <v>0</v>
      </c>
      <c r="D12" s="182">
        <f>B12+C6+C8+C12</f>
        <v>32.87</v>
      </c>
      <c r="E12" s="299">
        <v>-22.86</v>
      </c>
      <c r="F12" s="182">
        <f t="shared" si="0"/>
        <v>10.009999999999998</v>
      </c>
      <c r="G12" s="299">
        <v>0</v>
      </c>
      <c r="H12" s="182">
        <f t="shared" si="1"/>
        <v>10.009999999999998</v>
      </c>
      <c r="I12" s="25"/>
      <c r="J12" s="35"/>
      <c r="K12" s="35"/>
      <c r="L12" s="35"/>
      <c r="M12" s="362"/>
      <c r="N12" s="35"/>
      <c r="O12" s="362"/>
      <c r="P12" s="35"/>
    </row>
    <row r="13" spans="1:16" ht="12.75">
      <c r="A13" s="24" t="s">
        <v>45</v>
      </c>
      <c r="B13" s="33">
        <f t="shared" si="2"/>
        <v>32.87</v>
      </c>
      <c r="C13" s="37">
        <v>0</v>
      </c>
      <c r="D13" s="182">
        <f>B13+C13</f>
        <v>32.87</v>
      </c>
      <c r="E13" s="299">
        <v>-22.86</v>
      </c>
      <c r="F13" s="182">
        <f t="shared" si="0"/>
        <v>10.009999999999998</v>
      </c>
      <c r="G13" s="299">
        <v>0</v>
      </c>
      <c r="H13" s="182">
        <f>F13+G13</f>
        <v>10.009999999999998</v>
      </c>
      <c r="I13" s="25"/>
      <c r="J13" s="35"/>
      <c r="K13" s="35"/>
      <c r="L13" s="35"/>
      <c r="M13" s="362"/>
      <c r="N13" s="35"/>
      <c r="O13" s="362"/>
      <c r="P13" s="35"/>
    </row>
    <row r="14" spans="1:16" ht="12.75">
      <c r="A14" s="24" t="s">
        <v>127</v>
      </c>
      <c r="B14" s="33">
        <f t="shared" si="2"/>
        <v>32.87</v>
      </c>
      <c r="C14" s="37">
        <v>0</v>
      </c>
      <c r="D14" s="182">
        <f>B14+C13+C14</f>
        <v>32.87</v>
      </c>
      <c r="E14" s="299">
        <v>-22.86</v>
      </c>
      <c r="F14" s="182">
        <f t="shared" si="0"/>
        <v>10.009999999999998</v>
      </c>
      <c r="G14" s="299">
        <v>0</v>
      </c>
      <c r="H14" s="182">
        <f t="shared" si="1"/>
        <v>10.009999999999998</v>
      </c>
      <c r="I14" s="25"/>
      <c r="J14" s="35"/>
      <c r="K14" s="35"/>
      <c r="L14" s="35"/>
      <c r="M14" s="362"/>
      <c r="N14" s="35"/>
      <c r="O14" s="362"/>
      <c r="P14" s="35"/>
    </row>
    <row r="15" spans="1:16" ht="12.75">
      <c r="A15" s="24" t="s">
        <v>20</v>
      </c>
      <c r="B15" s="33">
        <f t="shared" si="2"/>
        <v>32.87</v>
      </c>
      <c r="C15" s="37">
        <v>0</v>
      </c>
      <c r="D15" s="182">
        <f>B15+C15</f>
        <v>32.87</v>
      </c>
      <c r="E15" s="299">
        <v>-22.86</v>
      </c>
      <c r="F15" s="182">
        <f t="shared" si="0"/>
        <v>10.009999999999998</v>
      </c>
      <c r="G15" s="299">
        <v>0</v>
      </c>
      <c r="H15" s="182">
        <f t="shared" si="1"/>
        <v>10.009999999999998</v>
      </c>
      <c r="I15" s="25"/>
      <c r="J15" s="35"/>
      <c r="K15" s="35"/>
      <c r="L15" s="35"/>
      <c r="M15" s="362"/>
      <c r="N15" s="35"/>
      <c r="O15" s="362"/>
      <c r="P15" s="35"/>
    </row>
    <row r="16" spans="1:16" ht="12.75">
      <c r="A16" s="24" t="s">
        <v>11</v>
      </c>
      <c r="B16" s="33">
        <f t="shared" si="2"/>
        <v>32.87</v>
      </c>
      <c r="C16" s="37">
        <v>22.13</v>
      </c>
      <c r="D16" s="182">
        <f>B16+C6+C8+C16</f>
        <v>55</v>
      </c>
      <c r="E16" s="299">
        <v>-22.86</v>
      </c>
      <c r="F16" s="182">
        <f t="shared" si="0"/>
        <v>32.14</v>
      </c>
      <c r="G16" s="299">
        <v>0</v>
      </c>
      <c r="H16" s="182">
        <f t="shared" si="1"/>
        <v>32.14</v>
      </c>
      <c r="I16" s="25" t="s">
        <v>24</v>
      </c>
      <c r="J16" s="35"/>
      <c r="K16" s="35"/>
      <c r="L16" s="35"/>
      <c r="M16" s="362"/>
      <c r="N16" s="35"/>
      <c r="O16" s="362"/>
      <c r="P16" s="35"/>
    </row>
    <row r="17" spans="1:16" ht="12.75">
      <c r="A17" s="24" t="s">
        <v>10</v>
      </c>
      <c r="B17" s="33">
        <f t="shared" si="2"/>
        <v>32.87</v>
      </c>
      <c r="C17" s="37">
        <v>0</v>
      </c>
      <c r="D17" s="182">
        <f>B17+C6+C17</f>
        <v>32.87</v>
      </c>
      <c r="E17" s="299">
        <v>-22.86</v>
      </c>
      <c r="F17" s="182">
        <f t="shared" si="0"/>
        <v>10.009999999999998</v>
      </c>
      <c r="G17" s="299">
        <v>0</v>
      </c>
      <c r="H17" s="182">
        <f t="shared" si="1"/>
        <v>10.009999999999998</v>
      </c>
      <c r="I17" s="25"/>
      <c r="J17" s="35"/>
      <c r="K17" s="35"/>
      <c r="L17" s="35"/>
      <c r="M17" s="362"/>
      <c r="N17" s="35"/>
      <c r="O17" s="362"/>
      <c r="P17" s="35"/>
    </row>
    <row r="18" spans="1:16" ht="12.75">
      <c r="A18" s="24" t="s">
        <v>263</v>
      </c>
      <c r="B18" s="33" t="s">
        <v>147</v>
      </c>
      <c r="C18" s="37" t="s">
        <v>147</v>
      </c>
      <c r="D18" s="182" t="s">
        <v>147</v>
      </c>
      <c r="E18" s="33" t="s">
        <v>147</v>
      </c>
      <c r="F18" s="182" t="s">
        <v>147</v>
      </c>
      <c r="G18" s="33" t="s">
        <v>147</v>
      </c>
      <c r="H18" s="182" t="s">
        <v>147</v>
      </c>
      <c r="I18" s="25"/>
      <c r="J18" s="35"/>
      <c r="K18" s="35"/>
      <c r="L18" s="35"/>
      <c r="M18" s="35"/>
      <c r="N18" s="35"/>
      <c r="O18" s="35"/>
      <c r="P18" s="35"/>
    </row>
    <row r="19" spans="1:16" ht="12.75">
      <c r="A19" s="24" t="s">
        <v>207</v>
      </c>
      <c r="B19" s="33" t="s">
        <v>147</v>
      </c>
      <c r="C19" s="37" t="s">
        <v>147</v>
      </c>
      <c r="D19" s="182" t="s">
        <v>147</v>
      </c>
      <c r="E19" s="33" t="s">
        <v>147</v>
      </c>
      <c r="F19" s="182" t="s">
        <v>147</v>
      </c>
      <c r="G19" s="33" t="s">
        <v>147</v>
      </c>
      <c r="H19" s="182" t="s">
        <v>147</v>
      </c>
      <c r="I19" s="25"/>
      <c r="J19" s="35"/>
      <c r="K19" s="35"/>
      <c r="L19" s="35"/>
      <c r="M19" s="35"/>
      <c r="N19" s="35"/>
      <c r="O19" s="35"/>
      <c r="P19" s="35"/>
    </row>
    <row r="20" spans="1:16" ht="12.75">
      <c r="A20" s="24" t="s">
        <v>264</v>
      </c>
      <c r="B20" s="33" t="s">
        <v>147</v>
      </c>
      <c r="C20" s="37" t="s">
        <v>147</v>
      </c>
      <c r="D20" s="182" t="s">
        <v>147</v>
      </c>
      <c r="E20" s="33" t="s">
        <v>147</v>
      </c>
      <c r="F20" s="182" t="s">
        <v>147</v>
      </c>
      <c r="G20" s="33" t="s">
        <v>147</v>
      </c>
      <c r="H20" s="182" t="s">
        <v>147</v>
      </c>
      <c r="I20" s="25"/>
      <c r="J20" s="35"/>
      <c r="K20" s="35"/>
      <c r="L20" s="35"/>
      <c r="M20" s="35"/>
      <c r="N20" s="35"/>
      <c r="O20" s="35"/>
      <c r="P20" s="35"/>
    </row>
    <row r="21" spans="1:16" ht="12.75">
      <c r="A21" s="24" t="s">
        <v>209</v>
      </c>
      <c r="B21" s="33" t="s">
        <v>147</v>
      </c>
      <c r="C21" s="37" t="s">
        <v>147</v>
      </c>
      <c r="D21" s="182" t="s">
        <v>147</v>
      </c>
      <c r="E21" s="33" t="s">
        <v>147</v>
      </c>
      <c r="F21" s="182" t="s">
        <v>147</v>
      </c>
      <c r="G21" s="33" t="s">
        <v>147</v>
      </c>
      <c r="H21" s="182" t="s">
        <v>147</v>
      </c>
      <c r="I21" s="25"/>
      <c r="J21" s="35"/>
      <c r="K21" s="35"/>
      <c r="L21" s="35"/>
      <c r="M21" s="35"/>
      <c r="N21" s="35"/>
      <c r="O21" s="35"/>
      <c r="P21" s="35"/>
    </row>
    <row r="22" spans="1:16" ht="12.75">
      <c r="A22" s="24" t="s">
        <v>210</v>
      </c>
      <c r="B22" s="33" t="s">
        <v>147</v>
      </c>
      <c r="C22" s="37" t="s">
        <v>147</v>
      </c>
      <c r="D22" s="182" t="s">
        <v>147</v>
      </c>
      <c r="E22" s="33" t="s">
        <v>147</v>
      </c>
      <c r="F22" s="182" t="s">
        <v>147</v>
      </c>
      <c r="G22" s="33" t="s">
        <v>147</v>
      </c>
      <c r="H22" s="182" t="s">
        <v>147</v>
      </c>
      <c r="I22" s="25"/>
      <c r="J22" s="35"/>
      <c r="K22" s="35"/>
      <c r="L22" s="35"/>
      <c r="M22" s="35"/>
      <c r="N22" s="35"/>
      <c r="O22" s="35"/>
      <c r="P22" s="35"/>
    </row>
    <row r="23" spans="1:13" ht="12.75">
      <c r="A23" s="25" t="s">
        <v>199</v>
      </c>
      <c r="B23" s="36"/>
      <c r="C23" s="35"/>
      <c r="D23" s="35"/>
      <c r="E23" s="35"/>
      <c r="F23" s="35"/>
      <c r="G23" s="35"/>
      <c r="H23" s="35"/>
      <c r="I23" s="363"/>
      <c r="J23" s="363"/>
      <c r="M23" t="s">
        <v>24</v>
      </c>
    </row>
    <row r="24" spans="1:10" ht="24.75" customHeight="1">
      <c r="A24" s="620" t="s">
        <v>156</v>
      </c>
      <c r="B24" s="620"/>
      <c r="C24" s="620"/>
      <c r="D24" s="620"/>
      <c r="E24" s="620"/>
      <c r="F24" s="620"/>
      <c r="G24" s="620"/>
      <c r="H24" s="620"/>
      <c r="I24" s="363"/>
      <c r="J24" s="363"/>
    </row>
    <row r="25" spans="1:10" ht="12.75">
      <c r="A25" s="687" t="s">
        <v>343</v>
      </c>
      <c r="B25" s="687"/>
      <c r="C25" s="687"/>
      <c r="D25" s="687"/>
      <c r="E25" s="687"/>
      <c r="F25" s="687"/>
      <c r="G25" s="687"/>
      <c r="H25" s="687"/>
      <c r="I25" s="413" t="s">
        <v>24</v>
      </c>
      <c r="J25" s="363"/>
    </row>
    <row r="26" spans="1:14" ht="15.75">
      <c r="A26" s="686" t="s">
        <v>265</v>
      </c>
      <c r="B26" s="686"/>
      <c r="C26" s="686"/>
      <c r="D26" s="686"/>
      <c r="E26" s="365"/>
      <c r="F26" s="366"/>
      <c r="G26" s="366"/>
      <c r="H26" s="366"/>
      <c r="I26" s="363"/>
      <c r="J26" s="363"/>
      <c r="N26" s="18" t="s">
        <v>24</v>
      </c>
    </row>
    <row r="27" spans="1:18" ht="12.75">
      <c r="A27" s="683" t="s">
        <v>3</v>
      </c>
      <c r="B27" s="682" t="s">
        <v>266</v>
      </c>
      <c r="C27" s="682"/>
      <c r="D27" s="682"/>
      <c r="E27" s="682"/>
      <c r="F27" s="682" t="s">
        <v>245</v>
      </c>
      <c r="G27" s="682"/>
      <c r="H27" s="682"/>
      <c r="I27" s="682"/>
      <c r="J27" s="682" t="s">
        <v>267</v>
      </c>
      <c r="K27" s="682"/>
      <c r="L27" s="682"/>
      <c r="M27" s="682"/>
      <c r="N27" s="682" t="s">
        <v>268</v>
      </c>
      <c r="O27" s="682"/>
      <c r="P27" s="682"/>
      <c r="Q27" s="682"/>
      <c r="R27" s="363"/>
    </row>
    <row r="28" spans="1:17" ht="38.25">
      <c r="A28" s="683"/>
      <c r="B28" s="539" t="s">
        <v>269</v>
      </c>
      <c r="C28" s="203" t="s">
        <v>248</v>
      </c>
      <c r="D28" s="203" t="s">
        <v>249</v>
      </c>
      <c r="E28" s="203" t="s">
        <v>250</v>
      </c>
      <c r="F28" s="539" t="s">
        <v>269</v>
      </c>
      <c r="G28" s="203" t="s">
        <v>248</v>
      </c>
      <c r="H28" s="203" t="s">
        <v>249</v>
      </c>
      <c r="I28" s="203" t="s">
        <v>250</v>
      </c>
      <c r="J28" s="539" t="s">
        <v>269</v>
      </c>
      <c r="K28" s="203" t="s">
        <v>248</v>
      </c>
      <c r="L28" s="203" t="s">
        <v>249</v>
      </c>
      <c r="M28" s="203" t="s">
        <v>250</v>
      </c>
      <c r="N28" s="539" t="s">
        <v>269</v>
      </c>
      <c r="O28" s="203" t="s">
        <v>248</v>
      </c>
      <c r="P28" s="203" t="s">
        <v>249</v>
      </c>
      <c r="Q28" s="203" t="s">
        <v>250</v>
      </c>
    </row>
    <row r="29" spans="1:17" ht="12.75">
      <c r="A29" s="226" t="s">
        <v>6</v>
      </c>
      <c r="B29" s="367">
        <v>1079.1</v>
      </c>
      <c r="C29" s="367">
        <v>870.1</v>
      </c>
      <c r="D29" s="367">
        <v>344.4</v>
      </c>
      <c r="E29" s="47">
        <f>B29+C29+D29</f>
        <v>2293.6</v>
      </c>
      <c r="F29" s="368">
        <v>1345</v>
      </c>
      <c r="G29" s="368">
        <v>177.7</v>
      </c>
      <c r="H29" s="368">
        <v>89.9</v>
      </c>
      <c r="I29" s="47">
        <f>F29+G29+H29</f>
        <v>1612.6000000000001</v>
      </c>
      <c r="J29" s="368">
        <f>B29-F29</f>
        <v>-265.9000000000001</v>
      </c>
      <c r="K29" s="368">
        <f>C29-G29</f>
        <v>692.4000000000001</v>
      </c>
      <c r="L29" s="368">
        <f>D29-H29</f>
        <v>254.49999999999997</v>
      </c>
      <c r="M29" s="369">
        <f>J29+K29+L29</f>
        <v>681</v>
      </c>
      <c r="N29" s="53">
        <v>0</v>
      </c>
      <c r="O29" s="53">
        <v>0</v>
      </c>
      <c r="P29" s="53">
        <v>0</v>
      </c>
      <c r="Q29" s="47">
        <f>N29+O29+P29</f>
        <v>0</v>
      </c>
    </row>
    <row r="30" spans="1:17" ht="12.75">
      <c r="A30" s="226" t="s">
        <v>29</v>
      </c>
      <c r="B30" s="367">
        <v>649.5</v>
      </c>
      <c r="C30" s="367">
        <v>85.2</v>
      </c>
      <c r="D30" s="367">
        <v>140.9</v>
      </c>
      <c r="E30" s="47">
        <f aca="true" t="shared" si="3" ref="E30:E36">B30+C30+D30</f>
        <v>875.6</v>
      </c>
      <c r="F30" s="368">
        <v>624.6</v>
      </c>
      <c r="G30" s="368">
        <v>98.5</v>
      </c>
      <c r="H30" s="368">
        <v>47.1</v>
      </c>
      <c r="I30" s="47">
        <f aca="true" t="shared" si="4" ref="I30:I41">F30+G30+H30</f>
        <v>770.2</v>
      </c>
      <c r="J30" s="368">
        <f>B30-F30</f>
        <v>24.899999999999977</v>
      </c>
      <c r="K30" s="368">
        <f>C30-G30</f>
        <v>-13.299999999999997</v>
      </c>
      <c r="L30" s="368">
        <f aca="true" t="shared" si="5" ref="K30:L41">D30-H30</f>
        <v>93.80000000000001</v>
      </c>
      <c r="M30" s="47">
        <f>J30+K30+L30</f>
        <v>105.39999999999999</v>
      </c>
      <c r="N30" s="53">
        <v>0</v>
      </c>
      <c r="O30" s="53">
        <v>0</v>
      </c>
      <c r="P30" s="53">
        <v>0</v>
      </c>
      <c r="Q30" s="47">
        <f aca="true" t="shared" si="6" ref="Q30:Q36">N30+O30+P30</f>
        <v>0</v>
      </c>
    </row>
    <row r="31" spans="1:17" ht="12.75">
      <c r="A31" s="226" t="s">
        <v>35</v>
      </c>
      <c r="B31" s="367">
        <v>20.2</v>
      </c>
      <c r="C31" s="367">
        <v>34.5</v>
      </c>
      <c r="D31" s="367">
        <v>52.1</v>
      </c>
      <c r="E31" s="47">
        <f t="shared" si="3"/>
        <v>106.80000000000001</v>
      </c>
      <c r="F31" s="368">
        <v>252</v>
      </c>
      <c r="G31" s="368">
        <v>44.9</v>
      </c>
      <c r="H31" s="368">
        <v>17.3</v>
      </c>
      <c r="I31" s="47">
        <f t="shared" si="4"/>
        <v>314.2</v>
      </c>
      <c r="J31" s="368">
        <f aca="true" t="shared" si="7" ref="J31:J41">B31-F31</f>
        <v>-231.8</v>
      </c>
      <c r="K31" s="368">
        <f t="shared" si="5"/>
        <v>-10.399999999999999</v>
      </c>
      <c r="L31" s="368">
        <f t="shared" si="5"/>
        <v>34.8</v>
      </c>
      <c r="M31" s="47">
        <f aca="true" t="shared" si="8" ref="M31:M36">J31+K31+L31</f>
        <v>-207.40000000000003</v>
      </c>
      <c r="N31" s="53">
        <v>0</v>
      </c>
      <c r="O31" s="53">
        <v>0</v>
      </c>
      <c r="P31" s="53">
        <v>0</v>
      </c>
      <c r="Q31" s="47">
        <f t="shared" si="6"/>
        <v>0</v>
      </c>
    </row>
    <row r="32" spans="1:17" ht="12.75">
      <c r="A32" s="226" t="s">
        <v>5</v>
      </c>
      <c r="B32" s="367">
        <v>269.1</v>
      </c>
      <c r="C32" s="367">
        <v>0</v>
      </c>
      <c r="D32" s="367">
        <v>0</v>
      </c>
      <c r="E32" s="47">
        <f t="shared" si="3"/>
        <v>269.1</v>
      </c>
      <c r="F32" s="368">
        <v>73.5</v>
      </c>
      <c r="G32" s="368">
        <v>51.1</v>
      </c>
      <c r="H32" s="368">
        <v>24.8</v>
      </c>
      <c r="I32" s="47">
        <f t="shared" si="4"/>
        <v>149.4</v>
      </c>
      <c r="J32" s="368">
        <f t="shared" si="7"/>
        <v>195.60000000000002</v>
      </c>
      <c r="K32" s="368">
        <f t="shared" si="5"/>
        <v>-51.1</v>
      </c>
      <c r="L32" s="368">
        <f t="shared" si="5"/>
        <v>-24.8</v>
      </c>
      <c r="M32" s="47">
        <f t="shared" si="8"/>
        <v>119.70000000000003</v>
      </c>
      <c r="N32" s="370">
        <v>0</v>
      </c>
      <c r="O32" s="370">
        <v>0</v>
      </c>
      <c r="P32" s="370">
        <v>0</v>
      </c>
      <c r="Q32" s="47">
        <f t="shared" si="6"/>
        <v>0</v>
      </c>
    </row>
    <row r="33" spans="1:17" ht="12.75">
      <c r="A33" s="226" t="s">
        <v>8</v>
      </c>
      <c r="B33" s="367">
        <v>0</v>
      </c>
      <c r="C33" s="367">
        <v>0</v>
      </c>
      <c r="D33" s="367">
        <v>16.6</v>
      </c>
      <c r="E33" s="47">
        <f t="shared" si="3"/>
        <v>16.6</v>
      </c>
      <c r="F33" s="368">
        <v>55.9</v>
      </c>
      <c r="G33" s="368">
        <v>2.5</v>
      </c>
      <c r="H33" s="368">
        <v>5.2</v>
      </c>
      <c r="I33" s="47">
        <f>F33+G33+H33</f>
        <v>63.6</v>
      </c>
      <c r="J33" s="368">
        <f t="shared" si="7"/>
        <v>-55.9</v>
      </c>
      <c r="K33" s="368">
        <f t="shared" si="5"/>
        <v>-2.5</v>
      </c>
      <c r="L33" s="368">
        <f>D33-H33</f>
        <v>11.400000000000002</v>
      </c>
      <c r="M33" s="47">
        <f t="shared" si="8"/>
        <v>-47</v>
      </c>
      <c r="N33" s="370">
        <v>0</v>
      </c>
      <c r="O33" s="370">
        <v>0</v>
      </c>
      <c r="P33" s="370">
        <v>0</v>
      </c>
      <c r="Q33" s="47">
        <f t="shared" si="6"/>
        <v>0</v>
      </c>
    </row>
    <row r="34" spans="1:17" ht="12.75">
      <c r="A34" s="226" t="s">
        <v>36</v>
      </c>
      <c r="B34" s="367">
        <v>0</v>
      </c>
      <c r="C34" s="367">
        <v>0</v>
      </c>
      <c r="D34" s="367">
        <v>5.9</v>
      </c>
      <c r="E34" s="47">
        <f t="shared" si="3"/>
        <v>5.9</v>
      </c>
      <c r="F34" s="368">
        <v>42.6</v>
      </c>
      <c r="G34" s="368">
        <v>0.3</v>
      </c>
      <c r="H34" s="368">
        <v>1.9</v>
      </c>
      <c r="I34" s="47">
        <f t="shared" si="4"/>
        <v>44.8</v>
      </c>
      <c r="J34" s="368">
        <f t="shared" si="7"/>
        <v>-42.6</v>
      </c>
      <c r="K34" s="368">
        <f t="shared" si="5"/>
        <v>-0.3</v>
      </c>
      <c r="L34" s="368">
        <f t="shared" si="5"/>
        <v>4</v>
      </c>
      <c r="M34" s="47">
        <f t="shared" si="8"/>
        <v>-38.9</v>
      </c>
      <c r="N34" s="370">
        <v>0</v>
      </c>
      <c r="O34" s="370">
        <v>0</v>
      </c>
      <c r="P34" s="370">
        <v>0</v>
      </c>
      <c r="Q34" s="47">
        <f t="shared" si="6"/>
        <v>0</v>
      </c>
    </row>
    <row r="35" spans="1:17" ht="12.75">
      <c r="A35" s="226" t="s">
        <v>37</v>
      </c>
      <c r="B35" s="367">
        <v>0</v>
      </c>
      <c r="C35" s="367">
        <v>0</v>
      </c>
      <c r="D35" s="367">
        <v>1.4</v>
      </c>
      <c r="E35" s="47">
        <f t="shared" si="3"/>
        <v>1.4</v>
      </c>
      <c r="F35" s="368">
        <v>2.2</v>
      </c>
      <c r="G35" s="368">
        <v>19</v>
      </c>
      <c r="H35" s="368">
        <v>0</v>
      </c>
      <c r="I35" s="47">
        <f t="shared" si="4"/>
        <v>21.2</v>
      </c>
      <c r="J35" s="368">
        <f t="shared" si="7"/>
        <v>-2.2</v>
      </c>
      <c r="K35" s="368">
        <f t="shared" si="5"/>
        <v>-19</v>
      </c>
      <c r="L35" s="368">
        <f t="shared" si="5"/>
        <v>1.4</v>
      </c>
      <c r="M35" s="47">
        <f t="shared" si="8"/>
        <v>-19.8</v>
      </c>
      <c r="N35" s="370">
        <v>0</v>
      </c>
      <c r="O35" s="370">
        <v>0</v>
      </c>
      <c r="P35" s="370">
        <v>0</v>
      </c>
      <c r="Q35" s="47">
        <f t="shared" si="6"/>
        <v>0</v>
      </c>
    </row>
    <row r="36" spans="1:17" ht="12.75">
      <c r="A36" s="24" t="s">
        <v>15</v>
      </c>
      <c r="B36" s="367">
        <v>45.1</v>
      </c>
      <c r="C36" s="367">
        <v>0</v>
      </c>
      <c r="D36" s="367">
        <v>0</v>
      </c>
      <c r="E36" s="47">
        <f t="shared" si="3"/>
        <v>45.1</v>
      </c>
      <c r="F36" s="368">
        <v>18.3</v>
      </c>
      <c r="G36" s="368">
        <v>0</v>
      </c>
      <c r="H36" s="368">
        <v>23.6</v>
      </c>
      <c r="I36" s="47">
        <f t="shared" si="4"/>
        <v>41.900000000000006</v>
      </c>
      <c r="J36" s="368">
        <f t="shared" si="7"/>
        <v>26.8</v>
      </c>
      <c r="K36" s="368">
        <f t="shared" si="5"/>
        <v>0</v>
      </c>
      <c r="L36" s="368">
        <f t="shared" si="5"/>
        <v>-23.6</v>
      </c>
      <c r="M36" s="47">
        <f t="shared" si="8"/>
        <v>3.1999999999999993</v>
      </c>
      <c r="N36" s="370">
        <v>0</v>
      </c>
      <c r="O36" s="370">
        <v>0</v>
      </c>
      <c r="P36" s="370">
        <v>0</v>
      </c>
      <c r="Q36" s="47">
        <f t="shared" si="6"/>
        <v>0</v>
      </c>
    </row>
    <row r="37" spans="1:17" ht="12.75">
      <c r="A37" s="24" t="s">
        <v>45</v>
      </c>
      <c r="B37" s="367">
        <v>168.9</v>
      </c>
      <c r="C37" s="367">
        <v>0</v>
      </c>
      <c r="D37" s="367">
        <v>31.1</v>
      </c>
      <c r="E37" s="47">
        <f>B37+C37+D37</f>
        <v>200</v>
      </c>
      <c r="F37" s="368">
        <v>255.2</v>
      </c>
      <c r="G37" s="368">
        <v>0</v>
      </c>
      <c r="H37" s="368">
        <v>8.4</v>
      </c>
      <c r="I37" s="47">
        <f t="shared" si="4"/>
        <v>263.59999999999997</v>
      </c>
      <c r="J37" s="368">
        <f t="shared" si="7"/>
        <v>-86.29999999999998</v>
      </c>
      <c r="K37" s="368">
        <f t="shared" si="5"/>
        <v>0</v>
      </c>
      <c r="L37" s="368">
        <f t="shared" si="5"/>
        <v>22.700000000000003</v>
      </c>
      <c r="M37" s="47">
        <f>J37+K37+L37</f>
        <v>-63.59999999999998</v>
      </c>
      <c r="N37" s="370">
        <v>0</v>
      </c>
      <c r="O37" s="370">
        <v>0</v>
      </c>
      <c r="P37" s="370">
        <v>0</v>
      </c>
      <c r="Q37" s="47">
        <f>N37+O37+P37</f>
        <v>0</v>
      </c>
    </row>
    <row r="38" spans="1:17" ht="12.75">
      <c r="A38" s="24" t="s">
        <v>127</v>
      </c>
      <c r="B38" s="367">
        <v>21.9</v>
      </c>
      <c r="C38" s="367">
        <v>0</v>
      </c>
      <c r="D38" s="367">
        <v>12.6</v>
      </c>
      <c r="E38" s="47">
        <f>B38+C38+D38</f>
        <v>34.5</v>
      </c>
      <c r="F38" s="368">
        <v>33.8</v>
      </c>
      <c r="G38" s="368">
        <v>0</v>
      </c>
      <c r="H38" s="368">
        <v>0.1</v>
      </c>
      <c r="I38" s="47">
        <f t="shared" si="4"/>
        <v>33.9</v>
      </c>
      <c r="J38" s="368">
        <f t="shared" si="7"/>
        <v>-11.899999999999999</v>
      </c>
      <c r="K38" s="368">
        <f t="shared" si="5"/>
        <v>0</v>
      </c>
      <c r="L38" s="368">
        <f t="shared" si="5"/>
        <v>12.5</v>
      </c>
      <c r="M38" s="47">
        <f>J38+K38+L38</f>
        <v>0.6000000000000014</v>
      </c>
      <c r="N38" s="370">
        <v>0</v>
      </c>
      <c r="O38" s="370">
        <v>0</v>
      </c>
      <c r="P38" s="370">
        <v>0</v>
      </c>
      <c r="Q38" s="47">
        <f>N38+O38+P38</f>
        <v>0</v>
      </c>
    </row>
    <row r="39" spans="1:17" ht="12.75">
      <c r="A39" s="24" t="s">
        <v>20</v>
      </c>
      <c r="B39" s="367">
        <v>48</v>
      </c>
      <c r="C39" s="367">
        <v>12.6</v>
      </c>
      <c r="D39" s="367">
        <v>38.1</v>
      </c>
      <c r="E39" s="47">
        <f>B39+C39+D39</f>
        <v>98.7</v>
      </c>
      <c r="F39" s="368">
        <v>95.7</v>
      </c>
      <c r="G39" s="368">
        <v>9.8</v>
      </c>
      <c r="H39" s="368">
        <v>0.3</v>
      </c>
      <c r="I39" s="47">
        <f t="shared" si="4"/>
        <v>105.8</v>
      </c>
      <c r="J39" s="368">
        <f t="shared" si="7"/>
        <v>-47.7</v>
      </c>
      <c r="K39" s="368">
        <f t="shared" si="5"/>
        <v>2.799999999999999</v>
      </c>
      <c r="L39" s="368">
        <f t="shared" si="5"/>
        <v>37.800000000000004</v>
      </c>
      <c r="M39" s="47">
        <f>J39+K39+L39</f>
        <v>-7.100000000000001</v>
      </c>
      <c r="N39" s="370">
        <v>0</v>
      </c>
      <c r="O39" s="370">
        <v>0</v>
      </c>
      <c r="P39" s="370">
        <v>0</v>
      </c>
      <c r="Q39" s="47">
        <f>N39+O39+P39</f>
        <v>0</v>
      </c>
    </row>
    <row r="40" spans="1:17" ht="12.75">
      <c r="A40" s="24" t="s">
        <v>11</v>
      </c>
      <c r="B40" s="367">
        <v>224</v>
      </c>
      <c r="C40" s="367">
        <v>0</v>
      </c>
      <c r="D40" s="367">
        <v>0</v>
      </c>
      <c r="E40" s="47">
        <f>B40+C40+D40</f>
        <v>224</v>
      </c>
      <c r="F40" s="368">
        <v>35.2</v>
      </c>
      <c r="G40" s="368">
        <v>51.1</v>
      </c>
      <c r="H40" s="368">
        <v>1.2</v>
      </c>
      <c r="I40" s="47">
        <f t="shared" si="4"/>
        <v>87.50000000000001</v>
      </c>
      <c r="J40" s="368">
        <f t="shared" si="7"/>
        <v>188.8</v>
      </c>
      <c r="K40" s="368">
        <f t="shared" si="5"/>
        <v>-51.1</v>
      </c>
      <c r="L40" s="368">
        <f t="shared" si="5"/>
        <v>-1.2</v>
      </c>
      <c r="M40" s="47">
        <f>J40+K40+L40</f>
        <v>136.50000000000003</v>
      </c>
      <c r="N40" s="370">
        <v>0</v>
      </c>
      <c r="O40" s="370">
        <v>0</v>
      </c>
      <c r="P40" s="370">
        <v>0</v>
      </c>
      <c r="Q40" s="47">
        <f>N40+O40+P40</f>
        <v>0</v>
      </c>
    </row>
    <row r="41" spans="1:17" ht="12.75">
      <c r="A41" s="24" t="s">
        <v>10</v>
      </c>
      <c r="B41" s="367">
        <v>27</v>
      </c>
      <c r="C41" s="367">
        <v>0.2</v>
      </c>
      <c r="D41" s="367">
        <v>54.7</v>
      </c>
      <c r="E41" s="47">
        <f>B41+C41+D41</f>
        <v>81.9</v>
      </c>
      <c r="F41" s="368">
        <v>143.9</v>
      </c>
      <c r="G41" s="368">
        <v>0.2</v>
      </c>
      <c r="H41" s="368">
        <v>2.1</v>
      </c>
      <c r="I41" s="47">
        <f t="shared" si="4"/>
        <v>146.2</v>
      </c>
      <c r="J41" s="368">
        <f t="shared" si="7"/>
        <v>-116.9</v>
      </c>
      <c r="K41" s="368">
        <f>C41-G41</f>
        <v>0</v>
      </c>
      <c r="L41" s="368">
        <f t="shared" si="5"/>
        <v>52.6</v>
      </c>
      <c r="M41" s="47">
        <f>J41+K41+L41</f>
        <v>-64.30000000000001</v>
      </c>
      <c r="N41" s="370">
        <v>0</v>
      </c>
      <c r="O41" s="370">
        <v>0</v>
      </c>
      <c r="P41" s="370">
        <v>0</v>
      </c>
      <c r="Q41" s="47">
        <f>N41+O41+P41</f>
        <v>0</v>
      </c>
    </row>
    <row r="42" spans="1:17" ht="12.75">
      <c r="A42" s="9"/>
      <c r="B42" s="371"/>
      <c r="C42" s="372"/>
      <c r="D42" s="371"/>
      <c r="E42" s="373"/>
      <c r="F42" s="371"/>
      <c r="G42" s="372"/>
      <c r="H42" s="371"/>
      <c r="I42" s="373"/>
      <c r="J42" s="374"/>
      <c r="K42" s="374"/>
      <c r="L42" s="374"/>
      <c r="M42" s="373"/>
      <c r="N42" s="9"/>
      <c r="O42" s="9"/>
      <c r="P42" s="9"/>
      <c r="Q42" s="9"/>
    </row>
    <row r="43" spans="1:17" ht="15.75">
      <c r="A43" s="684" t="s">
        <v>253</v>
      </c>
      <c r="B43" s="684"/>
      <c r="C43" s="684"/>
      <c r="D43" s="371"/>
      <c r="E43" s="498" t="s">
        <v>24</v>
      </c>
      <c r="F43" s="371"/>
      <c r="G43" s="372"/>
      <c r="H43" s="371"/>
      <c r="I43" s="373"/>
      <c r="J43" s="374"/>
      <c r="K43" s="374"/>
      <c r="L43" s="374"/>
      <c r="M43" s="373"/>
      <c r="N43" s="9"/>
      <c r="O43" s="9"/>
      <c r="P43" s="9"/>
      <c r="Q43" s="7"/>
    </row>
    <row r="44" spans="1:18" ht="12.75">
      <c r="A44" s="683" t="s">
        <v>3</v>
      </c>
      <c r="B44" s="682" t="s">
        <v>270</v>
      </c>
      <c r="C44" s="682"/>
      <c r="D44" s="682"/>
      <c r="E44" s="682"/>
      <c r="F44" s="682" t="s">
        <v>271</v>
      </c>
      <c r="G44" s="682"/>
      <c r="H44" s="682"/>
      <c r="I44" s="682"/>
      <c r="J44" s="682" t="s">
        <v>272</v>
      </c>
      <c r="K44" s="682"/>
      <c r="L44" s="682"/>
      <c r="M44" s="682"/>
      <c r="N44" s="375"/>
      <c r="O44" s="376"/>
      <c r="P44" s="376"/>
      <c r="Q44" s="376"/>
      <c r="R44" s="363"/>
    </row>
    <row r="45" spans="1:17" ht="38.25">
      <c r="A45" s="683"/>
      <c r="B45" s="539" t="s">
        <v>269</v>
      </c>
      <c r="C45" s="203" t="s">
        <v>248</v>
      </c>
      <c r="D45" s="203" t="s">
        <v>249</v>
      </c>
      <c r="E45" s="203" t="s">
        <v>250</v>
      </c>
      <c r="F45" s="539" t="s">
        <v>269</v>
      </c>
      <c r="G45" s="203" t="s">
        <v>248</v>
      </c>
      <c r="H45" s="203" t="s">
        <v>249</v>
      </c>
      <c r="I45" s="203" t="s">
        <v>250</v>
      </c>
      <c r="J45" s="539" t="s">
        <v>269</v>
      </c>
      <c r="K45" s="203" t="s">
        <v>248</v>
      </c>
      <c r="L45" s="203" t="s">
        <v>249</v>
      </c>
      <c r="M45" s="203" t="s">
        <v>250</v>
      </c>
      <c r="N45" s="377"/>
      <c r="O45" s="574" t="s">
        <v>24</v>
      </c>
      <c r="P45" s="19"/>
      <c r="Q45" s="19"/>
    </row>
    <row r="46" spans="1:19" ht="12.75" customHeight="1">
      <c r="A46" s="226" t="s">
        <v>6</v>
      </c>
      <c r="B46" s="368">
        <v>265.9</v>
      </c>
      <c r="C46" s="368">
        <v>0</v>
      </c>
      <c r="D46" s="368">
        <v>40.9</v>
      </c>
      <c r="E46" s="47">
        <f aca="true" t="shared" si="9" ref="E46:E53">B46+C46+D46</f>
        <v>306.79999999999995</v>
      </c>
      <c r="F46" s="368">
        <v>0</v>
      </c>
      <c r="G46" s="368">
        <v>987.8</v>
      </c>
      <c r="H46" s="368">
        <v>0</v>
      </c>
      <c r="I46" s="47">
        <f aca="true" t="shared" si="10" ref="I46:I53">F46+G46+H46</f>
        <v>987.8</v>
      </c>
      <c r="J46" s="367">
        <f aca="true" t="shared" si="11" ref="J46:L58">B46-F46</f>
        <v>265.9</v>
      </c>
      <c r="K46" s="368">
        <f>C46-G46</f>
        <v>-987.8</v>
      </c>
      <c r="L46" s="368">
        <f t="shared" si="11"/>
        <v>40.9</v>
      </c>
      <c r="M46" s="369">
        <f>J46+K46+L46</f>
        <v>-681</v>
      </c>
      <c r="N46" s="378" t="s">
        <v>24</v>
      </c>
      <c r="O46" s="575" t="s">
        <v>24</v>
      </c>
      <c r="P46" s="380"/>
      <c r="Q46" s="380"/>
      <c r="R46" s="381"/>
      <c r="S46" s="207"/>
    </row>
    <row r="47" spans="1:19" ht="12.75" customHeight="1">
      <c r="A47" s="226" t="s">
        <v>29</v>
      </c>
      <c r="B47" s="368">
        <v>123.3</v>
      </c>
      <c r="C47" s="368">
        <v>0</v>
      </c>
      <c r="D47" s="368">
        <v>30.7</v>
      </c>
      <c r="E47" s="47">
        <f t="shared" si="9"/>
        <v>154</v>
      </c>
      <c r="F47" s="368">
        <v>0</v>
      </c>
      <c r="G47" s="368">
        <v>987.8</v>
      </c>
      <c r="H47" s="368">
        <v>0</v>
      </c>
      <c r="I47" s="47">
        <f t="shared" si="10"/>
        <v>987.8</v>
      </c>
      <c r="J47" s="368">
        <f t="shared" si="11"/>
        <v>123.3</v>
      </c>
      <c r="K47" s="368">
        <f>C47-G47</f>
        <v>-987.8</v>
      </c>
      <c r="L47" s="368">
        <f t="shared" si="11"/>
        <v>30.7</v>
      </c>
      <c r="M47" s="47">
        <f aca="true" t="shared" si="12" ref="M47:M53">J47+K47+L47</f>
        <v>-833.8</v>
      </c>
      <c r="N47" s="7"/>
      <c r="O47" s="575" t="s">
        <v>24</v>
      </c>
      <c r="P47" s="380"/>
      <c r="Q47" s="380"/>
      <c r="R47" s="206"/>
      <c r="S47" s="207"/>
    </row>
    <row r="48" spans="1:19" ht="12.75" customHeight="1">
      <c r="A48" s="226" t="s">
        <v>35</v>
      </c>
      <c r="B48" s="368">
        <v>91.2</v>
      </c>
      <c r="C48" s="368">
        <v>0</v>
      </c>
      <c r="D48" s="368">
        <v>15.6</v>
      </c>
      <c r="E48" s="47">
        <f t="shared" si="9"/>
        <v>106.8</v>
      </c>
      <c r="F48" s="368">
        <v>0</v>
      </c>
      <c r="G48" s="368">
        <v>501.9</v>
      </c>
      <c r="H48" s="368">
        <v>0</v>
      </c>
      <c r="I48" s="47">
        <f t="shared" si="10"/>
        <v>501.9</v>
      </c>
      <c r="J48" s="368">
        <f t="shared" si="11"/>
        <v>91.2</v>
      </c>
      <c r="K48" s="368">
        <f t="shared" si="11"/>
        <v>-501.9</v>
      </c>
      <c r="L48" s="368">
        <f t="shared" si="11"/>
        <v>15.6</v>
      </c>
      <c r="M48" s="47">
        <f t="shared" si="12"/>
        <v>-395.09999999999997</v>
      </c>
      <c r="N48" s="7"/>
      <c r="O48" s="575" t="s">
        <v>24</v>
      </c>
      <c r="P48" s="380"/>
      <c r="Q48" s="9"/>
      <c r="R48" s="206"/>
      <c r="S48" s="207"/>
    </row>
    <row r="49" spans="1:19" ht="12.75" customHeight="1">
      <c r="A49" s="226" t="s">
        <v>5</v>
      </c>
      <c r="B49" s="368">
        <v>20.7</v>
      </c>
      <c r="C49" s="368">
        <v>0</v>
      </c>
      <c r="D49" s="368">
        <v>10.1</v>
      </c>
      <c r="E49" s="47">
        <f t="shared" si="9"/>
        <v>30.799999999999997</v>
      </c>
      <c r="F49" s="368">
        <v>0</v>
      </c>
      <c r="G49" s="368">
        <v>33.9</v>
      </c>
      <c r="H49" s="368">
        <v>0</v>
      </c>
      <c r="I49" s="47">
        <f t="shared" si="10"/>
        <v>33.9</v>
      </c>
      <c r="J49" s="368">
        <f t="shared" si="11"/>
        <v>20.7</v>
      </c>
      <c r="K49" s="368">
        <f t="shared" si="11"/>
        <v>-33.9</v>
      </c>
      <c r="L49" s="368">
        <f t="shared" si="11"/>
        <v>10.1</v>
      </c>
      <c r="M49" s="47">
        <f t="shared" si="12"/>
        <v>-3.0999999999999996</v>
      </c>
      <c r="N49" s="9"/>
      <c r="O49" s="575" t="s">
        <v>24</v>
      </c>
      <c r="P49" s="380"/>
      <c r="Q49" s="9"/>
      <c r="R49" s="206"/>
      <c r="S49" s="207"/>
    </row>
    <row r="50" spans="1:19" ht="12.75" customHeight="1">
      <c r="A50" s="226" t="s">
        <v>8</v>
      </c>
      <c r="B50" s="368">
        <v>31.9</v>
      </c>
      <c r="C50" s="368">
        <v>0</v>
      </c>
      <c r="D50" s="368">
        <v>4.8</v>
      </c>
      <c r="E50" s="47">
        <f t="shared" si="9"/>
        <v>36.699999999999996</v>
      </c>
      <c r="F50" s="368">
        <v>0</v>
      </c>
      <c r="G50" s="368">
        <v>176.8</v>
      </c>
      <c r="H50" s="368">
        <v>0</v>
      </c>
      <c r="I50" s="47">
        <f t="shared" si="10"/>
        <v>176.8</v>
      </c>
      <c r="J50" s="368">
        <f t="shared" si="11"/>
        <v>31.9</v>
      </c>
      <c r="K50" s="368">
        <f t="shared" si="11"/>
        <v>-176.8</v>
      </c>
      <c r="L50" s="368">
        <f t="shared" si="11"/>
        <v>4.8</v>
      </c>
      <c r="M50" s="47">
        <f t="shared" si="12"/>
        <v>-140.1</v>
      </c>
      <c r="N50" s="9"/>
      <c r="O50" s="575" t="s">
        <v>24</v>
      </c>
      <c r="P50" s="380"/>
      <c r="Q50" s="9"/>
      <c r="R50" s="206"/>
      <c r="S50" s="207"/>
    </row>
    <row r="51" spans="1:17" ht="12.75" customHeight="1">
      <c r="A51" s="226" t="s">
        <v>36</v>
      </c>
      <c r="B51" s="368">
        <v>18.6</v>
      </c>
      <c r="C51" s="368">
        <v>0</v>
      </c>
      <c r="D51" s="368">
        <v>1.9</v>
      </c>
      <c r="E51" s="47">
        <f t="shared" si="9"/>
        <v>20.5</v>
      </c>
      <c r="F51" s="368">
        <v>0</v>
      </c>
      <c r="G51" s="368">
        <v>166.8</v>
      </c>
      <c r="H51" s="368">
        <v>0</v>
      </c>
      <c r="I51" s="47">
        <f t="shared" si="10"/>
        <v>166.8</v>
      </c>
      <c r="J51" s="368">
        <f t="shared" si="11"/>
        <v>18.6</v>
      </c>
      <c r="K51" s="368">
        <f t="shared" si="11"/>
        <v>-166.8</v>
      </c>
      <c r="L51" s="368">
        <f t="shared" si="11"/>
        <v>1.9</v>
      </c>
      <c r="M51" s="47">
        <f t="shared" si="12"/>
        <v>-146.3</v>
      </c>
      <c r="N51" s="9"/>
      <c r="O51" s="575" t="s">
        <v>24</v>
      </c>
      <c r="P51" s="9"/>
      <c r="Q51" s="9"/>
    </row>
    <row r="52" spans="1:17" ht="12.75" customHeight="1">
      <c r="A52" s="226" t="s">
        <v>37</v>
      </c>
      <c r="B52" s="368">
        <v>2.2</v>
      </c>
      <c r="C52" s="368">
        <v>0</v>
      </c>
      <c r="D52" s="368">
        <v>0</v>
      </c>
      <c r="E52" s="47">
        <f t="shared" si="9"/>
        <v>2.2</v>
      </c>
      <c r="F52" s="368">
        <v>0</v>
      </c>
      <c r="G52" s="368">
        <v>61.8</v>
      </c>
      <c r="H52" s="368">
        <v>0</v>
      </c>
      <c r="I52" s="47">
        <f t="shared" si="10"/>
        <v>61.8</v>
      </c>
      <c r="J52" s="368">
        <f t="shared" si="11"/>
        <v>2.2</v>
      </c>
      <c r="K52" s="368">
        <f t="shared" si="11"/>
        <v>-61.8</v>
      </c>
      <c r="L52" s="368">
        <f t="shared" si="11"/>
        <v>0</v>
      </c>
      <c r="M52" s="47">
        <f t="shared" si="12"/>
        <v>-59.599999999999994</v>
      </c>
      <c r="N52" s="9"/>
      <c r="O52" s="575" t="s">
        <v>24</v>
      </c>
      <c r="P52" s="9"/>
      <c r="Q52" s="9"/>
    </row>
    <row r="53" spans="1:17" ht="12.75" customHeight="1">
      <c r="A53" s="24" t="s">
        <v>15</v>
      </c>
      <c r="B53" s="368">
        <v>15.6</v>
      </c>
      <c r="C53" s="368">
        <v>0</v>
      </c>
      <c r="D53" s="368">
        <v>8.9</v>
      </c>
      <c r="E53" s="47">
        <f t="shared" si="9"/>
        <v>24.5</v>
      </c>
      <c r="F53" s="368">
        <v>0</v>
      </c>
      <c r="G53" s="368">
        <v>0</v>
      </c>
      <c r="H53" s="368">
        <v>0</v>
      </c>
      <c r="I53" s="47">
        <f t="shared" si="10"/>
        <v>0</v>
      </c>
      <c r="J53" s="368">
        <f t="shared" si="11"/>
        <v>15.6</v>
      </c>
      <c r="K53" s="368">
        <f t="shared" si="11"/>
        <v>0</v>
      </c>
      <c r="L53" s="368">
        <f t="shared" si="11"/>
        <v>8.9</v>
      </c>
      <c r="M53" s="47">
        <f t="shared" si="12"/>
        <v>24.5</v>
      </c>
      <c r="N53" s="9"/>
      <c r="O53" s="575" t="s">
        <v>24</v>
      </c>
      <c r="P53" s="383"/>
      <c r="Q53" s="384"/>
    </row>
    <row r="54" spans="1:17" ht="12.75" customHeight="1">
      <c r="A54" s="24" t="s">
        <v>45</v>
      </c>
      <c r="B54" s="368">
        <v>41.7</v>
      </c>
      <c r="C54" s="368">
        <v>0</v>
      </c>
      <c r="D54" s="368">
        <v>3</v>
      </c>
      <c r="E54" s="47">
        <f>B54+C54+D54</f>
        <v>44.7</v>
      </c>
      <c r="F54" s="368">
        <v>0</v>
      </c>
      <c r="G54" s="368">
        <v>0</v>
      </c>
      <c r="H54" s="368">
        <v>0</v>
      </c>
      <c r="I54" s="47">
        <f>F54+G54+H54</f>
        <v>0</v>
      </c>
      <c r="J54" s="368">
        <f t="shared" si="11"/>
        <v>41.7</v>
      </c>
      <c r="K54" s="368">
        <f t="shared" si="11"/>
        <v>0</v>
      </c>
      <c r="L54" s="368">
        <f t="shared" si="11"/>
        <v>3</v>
      </c>
      <c r="M54" s="47">
        <f>J54+K54+L54</f>
        <v>44.7</v>
      </c>
      <c r="N54" s="9"/>
      <c r="O54" s="575" t="s">
        <v>24</v>
      </c>
      <c r="P54" s="383"/>
      <c r="Q54" s="384"/>
    </row>
    <row r="55" spans="1:17" ht="12.75" customHeight="1">
      <c r="A55" s="24" t="s">
        <v>127</v>
      </c>
      <c r="B55" s="368">
        <v>14.5</v>
      </c>
      <c r="C55" s="368">
        <v>0</v>
      </c>
      <c r="D55" s="368">
        <v>0.1</v>
      </c>
      <c r="E55" s="47">
        <f>B55+C55+D55</f>
        <v>14.6</v>
      </c>
      <c r="F55" s="368">
        <v>0</v>
      </c>
      <c r="G55" s="368">
        <v>0</v>
      </c>
      <c r="H55" s="368">
        <v>0</v>
      </c>
      <c r="I55" s="47">
        <f>F55+G55+H55</f>
        <v>0</v>
      </c>
      <c r="J55" s="368">
        <f t="shared" si="11"/>
        <v>14.5</v>
      </c>
      <c r="K55" s="368">
        <f t="shared" si="11"/>
        <v>0</v>
      </c>
      <c r="L55" s="368">
        <f t="shared" si="11"/>
        <v>0.1</v>
      </c>
      <c r="M55" s="47">
        <f>J55+K55+L55</f>
        <v>14.6</v>
      </c>
      <c r="N55" s="9"/>
      <c r="O55" s="575" t="s">
        <v>24</v>
      </c>
      <c r="P55" s="383"/>
      <c r="Q55" s="384"/>
    </row>
    <row r="56" spans="1:17" ht="12.75" customHeight="1">
      <c r="A56" s="24" t="s">
        <v>20</v>
      </c>
      <c r="B56" s="368">
        <v>18.6</v>
      </c>
      <c r="C56" s="368">
        <v>0</v>
      </c>
      <c r="D56" s="368">
        <v>0.3</v>
      </c>
      <c r="E56" s="47">
        <f>B56+C56+D56</f>
        <v>18.900000000000002</v>
      </c>
      <c r="F56" s="368">
        <v>0</v>
      </c>
      <c r="G56" s="368">
        <v>0</v>
      </c>
      <c r="H56" s="368">
        <v>0</v>
      </c>
      <c r="I56" s="47">
        <f>F56+G56+H56</f>
        <v>0</v>
      </c>
      <c r="J56" s="368">
        <f t="shared" si="11"/>
        <v>18.6</v>
      </c>
      <c r="K56" s="368">
        <f t="shared" si="11"/>
        <v>0</v>
      </c>
      <c r="L56" s="368">
        <f t="shared" si="11"/>
        <v>0.3</v>
      </c>
      <c r="M56" s="47">
        <f>J56+K56+L56</f>
        <v>18.900000000000002</v>
      </c>
      <c r="N56" s="9"/>
      <c r="O56" s="575" t="s">
        <v>24</v>
      </c>
      <c r="P56" s="383"/>
      <c r="Q56" s="384"/>
    </row>
    <row r="57" spans="1:17" ht="12.75" customHeight="1">
      <c r="A57" s="24" t="s">
        <v>11</v>
      </c>
      <c r="B57" s="368">
        <v>5.1</v>
      </c>
      <c r="C57" s="368">
        <v>0</v>
      </c>
      <c r="D57" s="368">
        <v>1.2</v>
      </c>
      <c r="E57" s="47">
        <f>B57+C57+D57</f>
        <v>6.3</v>
      </c>
      <c r="F57" s="368">
        <v>0</v>
      </c>
      <c r="G57" s="368">
        <v>33.9</v>
      </c>
      <c r="H57" s="368">
        <v>0</v>
      </c>
      <c r="I57" s="47">
        <f>F57+G57+H57</f>
        <v>33.9</v>
      </c>
      <c r="J57" s="368">
        <f t="shared" si="11"/>
        <v>5.1</v>
      </c>
      <c r="K57" s="368">
        <f t="shared" si="11"/>
        <v>-33.9</v>
      </c>
      <c r="L57" s="368">
        <f t="shared" si="11"/>
        <v>1.2</v>
      </c>
      <c r="M57" s="47">
        <f>J57+K57+L57</f>
        <v>-27.599999999999998</v>
      </c>
      <c r="N57" s="9"/>
      <c r="O57" s="575" t="s">
        <v>24</v>
      </c>
      <c r="P57" s="383"/>
      <c r="Q57" s="384"/>
    </row>
    <row r="58" spans="1:17" ht="12.75" customHeight="1">
      <c r="A58" s="24" t="s">
        <v>10</v>
      </c>
      <c r="B58" s="368">
        <v>7.2</v>
      </c>
      <c r="C58" s="368">
        <v>0</v>
      </c>
      <c r="D58" s="368">
        <v>2.1</v>
      </c>
      <c r="E58" s="47">
        <f>B58+C58+D58</f>
        <v>9.3</v>
      </c>
      <c r="F58" s="368">
        <v>0</v>
      </c>
      <c r="G58" s="368">
        <v>0</v>
      </c>
      <c r="H58" s="368">
        <v>0</v>
      </c>
      <c r="I58" s="47">
        <f>F58+G58+H58</f>
        <v>0</v>
      </c>
      <c r="J58" s="368">
        <f t="shared" si="11"/>
        <v>7.2</v>
      </c>
      <c r="K58" s="368">
        <f t="shared" si="11"/>
        <v>0</v>
      </c>
      <c r="L58" s="368">
        <f t="shared" si="11"/>
        <v>2.1</v>
      </c>
      <c r="M58" s="47">
        <f>J58+K58+L58</f>
        <v>9.3</v>
      </c>
      <c r="N58" s="9"/>
      <c r="O58" s="575" t="s">
        <v>24</v>
      </c>
      <c r="P58" s="383"/>
      <c r="Q58" s="384"/>
    </row>
    <row r="59" spans="1:17" ht="12.75">
      <c r="A59" s="9"/>
      <c r="B59" s="371"/>
      <c r="C59" s="372"/>
      <c r="D59" s="371"/>
      <c r="E59" s="373"/>
      <c r="F59" s="371"/>
      <c r="G59" s="372"/>
      <c r="H59" s="371"/>
      <c r="I59" s="373"/>
      <c r="J59" s="374"/>
      <c r="K59" s="374"/>
      <c r="L59" s="374"/>
      <c r="M59" s="373"/>
      <c r="N59" s="9"/>
      <c r="O59" s="9"/>
      <c r="P59" s="9"/>
      <c r="Q59" s="7"/>
    </row>
    <row r="60" spans="1:10" ht="15.75">
      <c r="A60" s="679" t="s">
        <v>273</v>
      </c>
      <c r="B60" s="679"/>
      <c r="C60" s="364"/>
      <c r="D60" s="364"/>
      <c r="E60" s="365"/>
      <c r="F60" s="366"/>
      <c r="G60" s="366"/>
      <c r="H60" s="366"/>
      <c r="I60" s="363"/>
      <c r="J60" s="363"/>
    </row>
    <row r="61" spans="1:25" ht="12.75">
      <c r="A61" s="683" t="s">
        <v>3</v>
      </c>
      <c r="B61" s="682" t="s">
        <v>266</v>
      </c>
      <c r="C61" s="682"/>
      <c r="D61" s="682"/>
      <c r="E61" s="682"/>
      <c r="F61" s="682" t="s">
        <v>245</v>
      </c>
      <c r="G61" s="682"/>
      <c r="H61" s="682"/>
      <c r="I61" s="682"/>
      <c r="J61" s="682" t="s">
        <v>267</v>
      </c>
      <c r="K61" s="682"/>
      <c r="L61" s="682"/>
      <c r="M61" s="682"/>
      <c r="N61" s="678" t="s">
        <v>274</v>
      </c>
      <c r="O61" s="678"/>
      <c r="P61" s="678"/>
      <c r="Q61" s="678"/>
      <c r="R61" s="678" t="s">
        <v>275</v>
      </c>
      <c r="S61" s="678"/>
      <c r="T61" s="678"/>
      <c r="U61" s="678"/>
      <c r="V61" s="678" t="s">
        <v>276</v>
      </c>
      <c r="W61" s="678"/>
      <c r="X61" s="678"/>
      <c r="Y61" s="678"/>
    </row>
    <row r="62" spans="1:25" ht="38.25">
      <c r="A62" s="683"/>
      <c r="B62" s="539" t="s">
        <v>269</v>
      </c>
      <c r="C62" s="203" t="s">
        <v>248</v>
      </c>
      <c r="D62" s="203" t="s">
        <v>249</v>
      </c>
      <c r="E62" s="203" t="s">
        <v>250</v>
      </c>
      <c r="F62" s="539" t="s">
        <v>269</v>
      </c>
      <c r="G62" s="203" t="s">
        <v>248</v>
      </c>
      <c r="H62" s="203" t="s">
        <v>249</v>
      </c>
      <c r="I62" s="203" t="s">
        <v>250</v>
      </c>
      <c r="J62" s="539" t="s">
        <v>269</v>
      </c>
      <c r="K62" s="203" t="s">
        <v>248</v>
      </c>
      <c r="L62" s="203" t="s">
        <v>249</v>
      </c>
      <c r="M62" s="203" t="s">
        <v>250</v>
      </c>
      <c r="N62" s="539" t="s">
        <v>269</v>
      </c>
      <c r="O62" s="203" t="s">
        <v>248</v>
      </c>
      <c r="P62" s="203" t="s">
        <v>249</v>
      </c>
      <c r="Q62" s="203" t="s">
        <v>250</v>
      </c>
      <c r="R62" s="539" t="s">
        <v>269</v>
      </c>
      <c r="S62" s="203" t="s">
        <v>248</v>
      </c>
      <c r="T62" s="203" t="s">
        <v>249</v>
      </c>
      <c r="U62" s="203" t="s">
        <v>250</v>
      </c>
      <c r="V62" s="539" t="s">
        <v>269</v>
      </c>
      <c r="W62" s="203" t="s">
        <v>248</v>
      </c>
      <c r="X62" s="203" t="s">
        <v>249</v>
      </c>
      <c r="Y62" s="203" t="s">
        <v>250</v>
      </c>
    </row>
    <row r="63" spans="1:25" ht="12.75">
      <c r="A63" s="226" t="s">
        <v>46</v>
      </c>
      <c r="B63" s="52">
        <f>B29-B30-B37-B39</f>
        <v>212.69999999999993</v>
      </c>
      <c r="C63" s="52">
        <f>C29-C30-C37-C39</f>
        <v>772.3</v>
      </c>
      <c r="D63" s="52">
        <f>D29-D30-D37-D39</f>
        <v>134.29999999999998</v>
      </c>
      <c r="E63" s="53">
        <f aca="true" t="shared" si="13" ref="E63:E75">B63+C63+D63</f>
        <v>1119.3</v>
      </c>
      <c r="F63" s="52">
        <f>F29-F30-F37-F39</f>
        <v>369.5</v>
      </c>
      <c r="G63" s="52">
        <f>G29-G30-G37-G39</f>
        <v>69.39999999999999</v>
      </c>
      <c r="H63" s="52">
        <f>H29-H30-H37-H39</f>
        <v>34.10000000000001</v>
      </c>
      <c r="I63" s="53">
        <f aca="true" t="shared" si="14" ref="I63:I75">F63+G63+H63</f>
        <v>473</v>
      </c>
      <c r="J63" s="385">
        <f>B63-F63</f>
        <v>-156.80000000000007</v>
      </c>
      <c r="K63" s="385">
        <f>C63-G63</f>
        <v>702.9</v>
      </c>
      <c r="L63" s="385">
        <f>D63-H63</f>
        <v>100.19999999999997</v>
      </c>
      <c r="M63" s="47">
        <f>J63+K63+L63</f>
        <v>646.2999999999998</v>
      </c>
      <c r="N63" s="54">
        <f>B63*D5</f>
        <v>6991.448999999997</v>
      </c>
      <c r="O63" s="54">
        <f aca="true" t="shared" si="15" ref="O63:O75">C63*F5</f>
        <v>7730.722999999998</v>
      </c>
      <c r="P63" s="54">
        <f>D63*H5</f>
        <v>1344.3429999999996</v>
      </c>
      <c r="Q63" s="54">
        <f aca="true" t="shared" si="16" ref="Q63:Q75">N63+O63+P63</f>
        <v>16066.514999999994</v>
      </c>
      <c r="R63" s="54">
        <f>F63*D5</f>
        <v>12145.464999999998</v>
      </c>
      <c r="S63" s="54">
        <f aca="true" t="shared" si="17" ref="S63:S75">G63*F5</f>
        <v>694.6939999999997</v>
      </c>
      <c r="T63" s="54">
        <f aca="true" t="shared" si="18" ref="T63:T75">H63*H5</f>
        <v>341.341</v>
      </c>
      <c r="U63" s="54">
        <f>R63+S63+T63</f>
        <v>13181.499999999998</v>
      </c>
      <c r="V63" s="386">
        <f>N63-R63</f>
        <v>-5154.016000000001</v>
      </c>
      <c r="W63" s="386">
        <f>O63-S63</f>
        <v>7036.028999999999</v>
      </c>
      <c r="X63" s="386">
        <f>P63-T63</f>
        <v>1003.0019999999996</v>
      </c>
      <c r="Y63" s="386">
        <f aca="true" t="shared" si="19" ref="Y63:Y72">V63+W63+X63</f>
        <v>2885.0149999999967</v>
      </c>
    </row>
    <row r="64" spans="1:25" ht="12.75">
      <c r="A64" s="226" t="s">
        <v>49</v>
      </c>
      <c r="B64" s="52">
        <f>B30-B31-B32-B41</f>
        <v>333.19999999999993</v>
      </c>
      <c r="C64" s="52">
        <f>C30-C31-C32-C41</f>
        <v>50.5</v>
      </c>
      <c r="D64" s="52">
        <f>D30-D31-D32-D41</f>
        <v>34.10000000000001</v>
      </c>
      <c r="E64" s="53">
        <f t="shared" si="13"/>
        <v>417.79999999999995</v>
      </c>
      <c r="F64" s="52">
        <f>F30-F31-F32-F41</f>
        <v>155.20000000000002</v>
      </c>
      <c r="G64" s="52">
        <f>G30-G31-G32-G41</f>
        <v>2.3</v>
      </c>
      <c r="H64" s="52">
        <f>H30-H31-H32-H41</f>
        <v>2.9</v>
      </c>
      <c r="I64" s="53">
        <f t="shared" si="14"/>
        <v>160.40000000000003</v>
      </c>
      <c r="J64" s="385">
        <f aca="true" t="shared" si="20" ref="J64:L75">B64-F64</f>
        <v>177.99999999999991</v>
      </c>
      <c r="K64" s="385">
        <f t="shared" si="20"/>
        <v>48.2</v>
      </c>
      <c r="L64" s="385">
        <f t="shared" si="20"/>
        <v>31.20000000000001</v>
      </c>
      <c r="M64" s="47">
        <f aca="true" t="shared" si="21" ref="M64:M72">J64+K64+L64</f>
        <v>257.3999999999999</v>
      </c>
      <c r="N64" s="54">
        <f aca="true" t="shared" si="22" ref="N64:N74">B64*D6</f>
        <v>10952.283999999996</v>
      </c>
      <c r="O64" s="54">
        <f t="shared" si="15"/>
        <v>505.5049999999999</v>
      </c>
      <c r="P64" s="54">
        <f aca="true" t="shared" si="23" ref="P64:P75">D64*H6</f>
        <v>341.341</v>
      </c>
      <c r="Q64" s="54">
        <f t="shared" si="16"/>
        <v>11799.129999999996</v>
      </c>
      <c r="R64" s="54">
        <f>F64*D6</f>
        <v>5101.424</v>
      </c>
      <c r="S64" s="54">
        <f t="shared" si="17"/>
        <v>23.022999999999993</v>
      </c>
      <c r="T64" s="54">
        <f t="shared" si="18"/>
        <v>29.028999999999993</v>
      </c>
      <c r="U64" s="54">
        <f aca="true" t="shared" si="24" ref="U64:U75">R64+S64+T64</f>
        <v>5153.476</v>
      </c>
      <c r="V64" s="386">
        <f>N64-R64</f>
        <v>5850.859999999996</v>
      </c>
      <c r="W64" s="386">
        <f aca="true" t="shared" si="25" ref="V64:X75">O64-S64</f>
        <v>482.4819999999999</v>
      </c>
      <c r="X64" s="386">
        <f t="shared" si="25"/>
        <v>312.312</v>
      </c>
      <c r="Y64" s="386">
        <f t="shared" si="19"/>
        <v>6645.653999999996</v>
      </c>
    </row>
    <row r="65" spans="1:25" ht="12.75">
      <c r="A65" s="226" t="s">
        <v>48</v>
      </c>
      <c r="B65" s="52">
        <f>B31-B33-B35</f>
        <v>20.2</v>
      </c>
      <c r="C65" s="52">
        <f>C31-C33-C35</f>
        <v>34.5</v>
      </c>
      <c r="D65" s="52">
        <f>D31-D33-D35</f>
        <v>34.1</v>
      </c>
      <c r="E65" s="53">
        <f t="shared" si="13"/>
        <v>88.80000000000001</v>
      </c>
      <c r="F65" s="52">
        <f>F31-F33-F35</f>
        <v>193.9</v>
      </c>
      <c r="G65" s="52">
        <f>G31-G33-G35</f>
        <v>23.4</v>
      </c>
      <c r="H65" s="52">
        <f>H31-H33-H35</f>
        <v>12.100000000000001</v>
      </c>
      <c r="I65" s="53">
        <f t="shared" si="14"/>
        <v>229.4</v>
      </c>
      <c r="J65" s="385">
        <f t="shared" si="20"/>
        <v>-173.70000000000002</v>
      </c>
      <c r="K65" s="385">
        <f t="shared" si="20"/>
        <v>11.100000000000001</v>
      </c>
      <c r="L65" s="385">
        <f t="shared" si="20"/>
        <v>22</v>
      </c>
      <c r="M65" s="47">
        <f t="shared" si="21"/>
        <v>-140.60000000000002</v>
      </c>
      <c r="N65" s="54">
        <f t="shared" si="22"/>
        <v>663.9739999999999</v>
      </c>
      <c r="O65" s="54">
        <f t="shared" si="15"/>
        <v>345.3449999999999</v>
      </c>
      <c r="P65" s="54">
        <f t="shared" si="23"/>
        <v>341.34099999999995</v>
      </c>
      <c r="Q65" s="54">
        <f t="shared" si="16"/>
        <v>1350.6599999999999</v>
      </c>
      <c r="R65" s="54">
        <f aca="true" t="shared" si="26" ref="R65:R75">F65*D7</f>
        <v>6373.4929999999995</v>
      </c>
      <c r="S65" s="54">
        <f t="shared" si="17"/>
        <v>234.23399999999995</v>
      </c>
      <c r="T65" s="54">
        <f t="shared" si="18"/>
        <v>121.121</v>
      </c>
      <c r="U65" s="54">
        <f t="shared" si="24"/>
        <v>6728.848</v>
      </c>
      <c r="V65" s="386">
        <f>N65-R65</f>
        <v>-5709.518999999999</v>
      </c>
      <c r="W65" s="386">
        <f t="shared" si="25"/>
        <v>111.11099999999996</v>
      </c>
      <c r="X65" s="386">
        <f t="shared" si="25"/>
        <v>220.21999999999997</v>
      </c>
      <c r="Y65" s="386">
        <f t="shared" si="19"/>
        <v>-5378.187999999999</v>
      </c>
    </row>
    <row r="66" spans="1:25" ht="12.75">
      <c r="A66" s="226" t="s">
        <v>47</v>
      </c>
      <c r="B66" s="52">
        <f>B32-B36-B40</f>
        <v>0</v>
      </c>
      <c r="C66" s="52">
        <f>C32-C36-C40</f>
        <v>0</v>
      </c>
      <c r="D66" s="52">
        <f>D32-D36-D40</f>
        <v>0</v>
      </c>
      <c r="E66" s="53">
        <f t="shared" si="13"/>
        <v>0</v>
      </c>
      <c r="F66" s="52">
        <f>F32-F36-F40</f>
        <v>20</v>
      </c>
      <c r="G66" s="52">
        <f>G32-G36-G40</f>
        <v>0</v>
      </c>
      <c r="H66" s="52">
        <f>H32-H36-H40</f>
        <v>0</v>
      </c>
      <c r="I66" s="53">
        <f t="shared" si="14"/>
        <v>20</v>
      </c>
      <c r="J66" s="385">
        <f t="shared" si="20"/>
        <v>-20</v>
      </c>
      <c r="K66" s="385">
        <f t="shared" si="20"/>
        <v>0</v>
      </c>
      <c r="L66" s="385">
        <f t="shared" si="20"/>
        <v>0</v>
      </c>
      <c r="M66" s="47">
        <f t="shared" si="21"/>
        <v>-20</v>
      </c>
      <c r="N66" s="54">
        <f t="shared" si="22"/>
        <v>0</v>
      </c>
      <c r="O66" s="54">
        <f t="shared" si="15"/>
        <v>0</v>
      </c>
      <c r="P66" s="54">
        <f t="shared" si="23"/>
        <v>0</v>
      </c>
      <c r="Q66" s="54">
        <f t="shared" si="16"/>
        <v>0</v>
      </c>
      <c r="R66" s="54">
        <f t="shared" si="26"/>
        <v>657.4</v>
      </c>
      <c r="S66" s="54">
        <f t="shared" si="17"/>
        <v>0</v>
      </c>
      <c r="T66" s="54">
        <f t="shared" si="18"/>
        <v>0</v>
      </c>
      <c r="U66" s="54">
        <f t="shared" si="24"/>
        <v>657.4</v>
      </c>
      <c r="V66" s="386">
        <f t="shared" si="25"/>
        <v>-657.4</v>
      </c>
      <c r="W66" s="386">
        <f t="shared" si="25"/>
        <v>0</v>
      </c>
      <c r="X66" s="386">
        <f t="shared" si="25"/>
        <v>0</v>
      </c>
      <c r="Y66" s="386">
        <f t="shared" si="19"/>
        <v>-657.4</v>
      </c>
    </row>
    <row r="67" spans="1:25" ht="12.75">
      <c r="A67" s="226" t="s">
        <v>39</v>
      </c>
      <c r="B67" s="52">
        <f>B33-B34</f>
        <v>0</v>
      </c>
      <c r="C67" s="52">
        <f>C33-C34</f>
        <v>0</v>
      </c>
      <c r="D67" s="52">
        <f>D33-D34</f>
        <v>10.700000000000001</v>
      </c>
      <c r="E67" s="53">
        <f t="shared" si="13"/>
        <v>10.700000000000001</v>
      </c>
      <c r="F67" s="52">
        <f>F33-F34</f>
        <v>13.299999999999997</v>
      </c>
      <c r="G67" s="52">
        <f>G33-G34</f>
        <v>2.2</v>
      </c>
      <c r="H67" s="52">
        <f>H33-H34</f>
        <v>3.3000000000000003</v>
      </c>
      <c r="I67" s="53">
        <f t="shared" si="14"/>
        <v>18.799999999999997</v>
      </c>
      <c r="J67" s="385">
        <f t="shared" si="20"/>
        <v>-13.299999999999997</v>
      </c>
      <c r="K67" s="385">
        <f t="shared" si="20"/>
        <v>-2.2</v>
      </c>
      <c r="L67" s="385">
        <f t="shared" si="20"/>
        <v>7.4</v>
      </c>
      <c r="M67" s="47">
        <f t="shared" si="21"/>
        <v>-8.099999999999996</v>
      </c>
      <c r="N67" s="54">
        <f t="shared" si="22"/>
        <v>0</v>
      </c>
      <c r="O67" s="54">
        <f t="shared" si="15"/>
        <v>0</v>
      </c>
      <c r="P67" s="54">
        <f t="shared" si="23"/>
        <v>107.10699999999999</v>
      </c>
      <c r="Q67" s="54">
        <f t="shared" si="16"/>
        <v>107.10699999999999</v>
      </c>
      <c r="R67" s="54">
        <f t="shared" si="26"/>
        <v>437.1709999999999</v>
      </c>
      <c r="S67" s="54">
        <f t="shared" si="17"/>
        <v>22.022</v>
      </c>
      <c r="T67" s="54">
        <f t="shared" si="18"/>
        <v>33.032999999999994</v>
      </c>
      <c r="U67" s="54">
        <f t="shared" si="24"/>
        <v>492.2259999999999</v>
      </c>
      <c r="V67" s="386">
        <f t="shared" si="25"/>
        <v>-437.1709999999999</v>
      </c>
      <c r="W67" s="386">
        <f t="shared" si="25"/>
        <v>-22.022</v>
      </c>
      <c r="X67" s="386">
        <f t="shared" si="25"/>
        <v>74.07399999999998</v>
      </c>
      <c r="Y67" s="386">
        <f t="shared" si="19"/>
        <v>-385.1189999999999</v>
      </c>
    </row>
    <row r="68" spans="1:25" ht="12.75">
      <c r="A68" s="226" t="s">
        <v>36</v>
      </c>
      <c r="B68" s="52">
        <f aca="true" t="shared" si="27" ref="B68:D70">B34</f>
        <v>0</v>
      </c>
      <c r="C68" s="52">
        <f t="shared" si="27"/>
        <v>0</v>
      </c>
      <c r="D68" s="52">
        <f t="shared" si="27"/>
        <v>5.9</v>
      </c>
      <c r="E68" s="53">
        <f t="shared" si="13"/>
        <v>5.9</v>
      </c>
      <c r="F68" s="52">
        <f aca="true" t="shared" si="28" ref="F68:H70">F34</f>
        <v>42.6</v>
      </c>
      <c r="G68" s="52">
        <f t="shared" si="28"/>
        <v>0.3</v>
      </c>
      <c r="H68" s="52">
        <f t="shared" si="28"/>
        <v>1.9</v>
      </c>
      <c r="I68" s="53">
        <f t="shared" si="14"/>
        <v>44.8</v>
      </c>
      <c r="J68" s="385">
        <f t="shared" si="20"/>
        <v>-42.6</v>
      </c>
      <c r="K68" s="385">
        <f t="shared" si="20"/>
        <v>-0.3</v>
      </c>
      <c r="L68" s="385">
        <f t="shared" si="20"/>
        <v>4</v>
      </c>
      <c r="M68" s="47">
        <f t="shared" si="21"/>
        <v>-38.9</v>
      </c>
      <c r="N68" s="54">
        <f t="shared" si="22"/>
        <v>0</v>
      </c>
      <c r="O68" s="54">
        <f t="shared" si="15"/>
        <v>0</v>
      </c>
      <c r="P68" s="54">
        <f t="shared" si="23"/>
        <v>59.05899999999999</v>
      </c>
      <c r="Q68" s="54">
        <f t="shared" si="16"/>
        <v>59.05899999999999</v>
      </c>
      <c r="R68" s="54">
        <f t="shared" si="26"/>
        <v>1400.262</v>
      </c>
      <c r="S68" s="54">
        <f t="shared" si="17"/>
        <v>3.0029999999999992</v>
      </c>
      <c r="T68" s="54">
        <f t="shared" si="18"/>
        <v>19.018999999999995</v>
      </c>
      <c r="U68" s="54">
        <f t="shared" si="24"/>
        <v>1422.2839999999999</v>
      </c>
      <c r="V68" s="386">
        <f t="shared" si="25"/>
        <v>-1400.262</v>
      </c>
      <c r="W68" s="386">
        <f t="shared" si="25"/>
        <v>-3.0029999999999992</v>
      </c>
      <c r="X68" s="386">
        <f t="shared" si="25"/>
        <v>40.03999999999999</v>
      </c>
      <c r="Y68" s="386">
        <f t="shared" si="19"/>
        <v>-1363.225</v>
      </c>
    </row>
    <row r="69" spans="1:25" ht="12.75">
      <c r="A69" s="226" t="s">
        <v>37</v>
      </c>
      <c r="B69" s="52">
        <f t="shared" si="27"/>
        <v>0</v>
      </c>
      <c r="C69" s="52">
        <f t="shared" si="27"/>
        <v>0</v>
      </c>
      <c r="D69" s="52">
        <f t="shared" si="27"/>
        <v>1.4</v>
      </c>
      <c r="E69" s="53">
        <f t="shared" si="13"/>
        <v>1.4</v>
      </c>
      <c r="F69" s="52">
        <f t="shared" si="28"/>
        <v>2.2</v>
      </c>
      <c r="G69" s="52">
        <f t="shared" si="28"/>
        <v>19</v>
      </c>
      <c r="H69" s="52">
        <f t="shared" si="28"/>
        <v>0</v>
      </c>
      <c r="I69" s="53">
        <f t="shared" si="14"/>
        <v>21.2</v>
      </c>
      <c r="J69" s="385">
        <f t="shared" si="20"/>
        <v>-2.2</v>
      </c>
      <c r="K69" s="385">
        <f t="shared" si="20"/>
        <v>-19</v>
      </c>
      <c r="L69" s="385">
        <f t="shared" si="20"/>
        <v>1.4</v>
      </c>
      <c r="M69" s="47">
        <f>J69+K69+L69</f>
        <v>-19.8</v>
      </c>
      <c r="N69" s="54">
        <f t="shared" si="22"/>
        <v>0</v>
      </c>
      <c r="O69" s="54">
        <f t="shared" si="15"/>
        <v>0</v>
      </c>
      <c r="P69" s="54">
        <f t="shared" si="23"/>
        <v>14.013999999999996</v>
      </c>
      <c r="Q69" s="54">
        <f t="shared" si="16"/>
        <v>14.013999999999996</v>
      </c>
      <c r="R69" s="54">
        <f t="shared" si="26"/>
        <v>72.31400000000001</v>
      </c>
      <c r="S69" s="54">
        <f t="shared" si="17"/>
        <v>190.18999999999997</v>
      </c>
      <c r="T69" s="54">
        <f t="shared" si="18"/>
        <v>0</v>
      </c>
      <c r="U69" s="54">
        <f t="shared" si="24"/>
        <v>262.50399999999996</v>
      </c>
      <c r="V69" s="386">
        <f t="shared" si="25"/>
        <v>-72.31400000000001</v>
      </c>
      <c r="W69" s="386">
        <f t="shared" si="25"/>
        <v>-190.18999999999997</v>
      </c>
      <c r="X69" s="386">
        <f t="shared" si="25"/>
        <v>14.013999999999996</v>
      </c>
      <c r="Y69" s="386">
        <f t="shared" si="19"/>
        <v>-248.48999999999995</v>
      </c>
    </row>
    <row r="70" spans="1:25" ht="12.75">
      <c r="A70" s="226" t="s">
        <v>15</v>
      </c>
      <c r="B70" s="52">
        <f t="shared" si="27"/>
        <v>45.1</v>
      </c>
      <c r="C70" s="52">
        <f t="shared" si="27"/>
        <v>0</v>
      </c>
      <c r="D70" s="52">
        <f t="shared" si="27"/>
        <v>0</v>
      </c>
      <c r="E70" s="53">
        <f t="shared" si="13"/>
        <v>45.1</v>
      </c>
      <c r="F70" s="52">
        <f t="shared" si="28"/>
        <v>18.3</v>
      </c>
      <c r="G70" s="52">
        <f t="shared" si="28"/>
        <v>0</v>
      </c>
      <c r="H70" s="52">
        <f t="shared" si="28"/>
        <v>23.6</v>
      </c>
      <c r="I70" s="53">
        <f t="shared" si="14"/>
        <v>41.900000000000006</v>
      </c>
      <c r="J70" s="385">
        <f t="shared" si="20"/>
        <v>26.8</v>
      </c>
      <c r="K70" s="385">
        <f t="shared" si="20"/>
        <v>0</v>
      </c>
      <c r="L70" s="385">
        <f t="shared" si="20"/>
        <v>-23.6</v>
      </c>
      <c r="M70" s="47">
        <f>J70+K70+L70</f>
        <v>3.1999999999999993</v>
      </c>
      <c r="N70" s="54">
        <f t="shared" si="22"/>
        <v>1482.437</v>
      </c>
      <c r="O70" s="54">
        <f t="shared" si="15"/>
        <v>0</v>
      </c>
      <c r="P70" s="54">
        <f t="shared" si="23"/>
        <v>0</v>
      </c>
      <c r="Q70" s="54">
        <f t="shared" si="16"/>
        <v>1482.437</v>
      </c>
      <c r="R70" s="54">
        <f t="shared" si="26"/>
        <v>601.521</v>
      </c>
      <c r="S70" s="54">
        <f t="shared" si="17"/>
        <v>0</v>
      </c>
      <c r="T70" s="54">
        <f t="shared" si="18"/>
        <v>236.23599999999996</v>
      </c>
      <c r="U70" s="54">
        <f t="shared" si="24"/>
        <v>837.757</v>
      </c>
      <c r="V70" s="386">
        <f t="shared" si="25"/>
        <v>880.9159999999999</v>
      </c>
      <c r="W70" s="386">
        <f t="shared" si="25"/>
        <v>0</v>
      </c>
      <c r="X70" s="386">
        <f t="shared" si="25"/>
        <v>-236.23599999999996</v>
      </c>
      <c r="Y70" s="386">
        <f t="shared" si="19"/>
        <v>644.68</v>
      </c>
    </row>
    <row r="71" spans="1:25" ht="12.75">
      <c r="A71" s="226" t="s">
        <v>128</v>
      </c>
      <c r="B71" s="52">
        <f>B37-B38</f>
        <v>147</v>
      </c>
      <c r="C71" s="52">
        <f>C37-C38</f>
        <v>0</v>
      </c>
      <c r="D71" s="52">
        <f>D37-D38</f>
        <v>18.5</v>
      </c>
      <c r="E71" s="53">
        <f t="shared" si="13"/>
        <v>165.5</v>
      </c>
      <c r="F71" s="52">
        <f>F37-F38</f>
        <v>221.39999999999998</v>
      </c>
      <c r="G71" s="52">
        <f>G37-G38</f>
        <v>0</v>
      </c>
      <c r="H71" s="52">
        <f>H37-H38</f>
        <v>8.3</v>
      </c>
      <c r="I71" s="53">
        <f t="shared" si="14"/>
        <v>229.7</v>
      </c>
      <c r="J71" s="385">
        <f t="shared" si="20"/>
        <v>-74.39999999999998</v>
      </c>
      <c r="K71" s="385">
        <f t="shared" si="20"/>
        <v>0</v>
      </c>
      <c r="L71" s="385">
        <f t="shared" si="20"/>
        <v>10.2</v>
      </c>
      <c r="M71" s="47">
        <f t="shared" si="21"/>
        <v>-64.19999999999997</v>
      </c>
      <c r="N71" s="54">
        <f t="shared" si="22"/>
        <v>4831.889999999999</v>
      </c>
      <c r="O71" s="54">
        <f t="shared" si="15"/>
        <v>0</v>
      </c>
      <c r="P71" s="54">
        <f t="shared" si="23"/>
        <v>185.18499999999997</v>
      </c>
      <c r="Q71" s="54">
        <f t="shared" si="16"/>
        <v>5017.075</v>
      </c>
      <c r="R71" s="54">
        <f t="shared" si="26"/>
        <v>7277.417999999999</v>
      </c>
      <c r="S71" s="54">
        <f t="shared" si="17"/>
        <v>0</v>
      </c>
      <c r="T71" s="54">
        <f t="shared" si="18"/>
        <v>83.08299999999998</v>
      </c>
      <c r="U71" s="54">
        <f t="shared" si="24"/>
        <v>7360.500999999998</v>
      </c>
      <c r="V71" s="386">
        <f t="shared" si="25"/>
        <v>-2445.5279999999993</v>
      </c>
      <c r="W71" s="386">
        <f t="shared" si="25"/>
        <v>0</v>
      </c>
      <c r="X71" s="386">
        <f t="shared" si="25"/>
        <v>102.10199999999999</v>
      </c>
      <c r="Y71" s="386">
        <f t="shared" si="19"/>
        <v>-2343.4259999999995</v>
      </c>
    </row>
    <row r="72" spans="1:25" ht="12.75">
      <c r="A72" s="226" t="s">
        <v>127</v>
      </c>
      <c r="B72" s="52">
        <f aca="true" t="shared" si="29" ref="B72:D75">B38</f>
        <v>21.9</v>
      </c>
      <c r="C72" s="52">
        <f t="shared" si="29"/>
        <v>0</v>
      </c>
      <c r="D72" s="52">
        <f t="shared" si="29"/>
        <v>12.6</v>
      </c>
      <c r="E72" s="53">
        <f t="shared" si="13"/>
        <v>34.5</v>
      </c>
      <c r="F72" s="52">
        <f aca="true" t="shared" si="30" ref="F72:H75">F38</f>
        <v>33.8</v>
      </c>
      <c r="G72" s="52">
        <f t="shared" si="30"/>
        <v>0</v>
      </c>
      <c r="H72" s="52">
        <f t="shared" si="30"/>
        <v>0.1</v>
      </c>
      <c r="I72" s="53">
        <f t="shared" si="14"/>
        <v>33.9</v>
      </c>
      <c r="J72" s="385">
        <f t="shared" si="20"/>
        <v>-11.899999999999999</v>
      </c>
      <c r="K72" s="385">
        <f t="shared" si="20"/>
        <v>0</v>
      </c>
      <c r="L72" s="385">
        <f t="shared" si="20"/>
        <v>12.5</v>
      </c>
      <c r="M72" s="47">
        <f t="shared" si="21"/>
        <v>0.6000000000000014</v>
      </c>
      <c r="N72" s="54">
        <f t="shared" si="22"/>
        <v>719.853</v>
      </c>
      <c r="O72" s="54">
        <f t="shared" si="15"/>
        <v>0</v>
      </c>
      <c r="P72" s="54">
        <f t="shared" si="23"/>
        <v>126.12599999999998</v>
      </c>
      <c r="Q72" s="54">
        <f t="shared" si="16"/>
        <v>845.9789999999999</v>
      </c>
      <c r="R72" s="54">
        <f t="shared" si="26"/>
        <v>1111.0059999999999</v>
      </c>
      <c r="S72" s="54">
        <f t="shared" si="17"/>
        <v>0</v>
      </c>
      <c r="T72" s="54">
        <f t="shared" si="18"/>
        <v>1.001</v>
      </c>
      <c r="U72" s="54">
        <f t="shared" si="24"/>
        <v>1112.0069999999998</v>
      </c>
      <c r="V72" s="386">
        <f t="shared" si="25"/>
        <v>-391.1529999999999</v>
      </c>
      <c r="W72" s="386">
        <f t="shared" si="25"/>
        <v>0</v>
      </c>
      <c r="X72" s="386">
        <f t="shared" si="25"/>
        <v>125.12499999999997</v>
      </c>
      <c r="Y72" s="386">
        <f t="shared" si="19"/>
        <v>-266.0279999999999</v>
      </c>
    </row>
    <row r="73" spans="1:25" ht="12.75">
      <c r="A73" s="24" t="s">
        <v>20</v>
      </c>
      <c r="B73" s="52">
        <f t="shared" si="29"/>
        <v>48</v>
      </c>
      <c r="C73" s="52">
        <f t="shared" si="29"/>
        <v>12.6</v>
      </c>
      <c r="D73" s="52">
        <f t="shared" si="29"/>
        <v>38.1</v>
      </c>
      <c r="E73" s="53">
        <f t="shared" si="13"/>
        <v>98.7</v>
      </c>
      <c r="F73" s="52">
        <f t="shared" si="30"/>
        <v>95.7</v>
      </c>
      <c r="G73" s="52">
        <f t="shared" si="30"/>
        <v>9.8</v>
      </c>
      <c r="H73" s="52">
        <f t="shared" si="30"/>
        <v>0.3</v>
      </c>
      <c r="I73" s="53">
        <f t="shared" si="14"/>
        <v>105.8</v>
      </c>
      <c r="J73" s="385">
        <f t="shared" si="20"/>
        <v>-47.7</v>
      </c>
      <c r="K73" s="385">
        <f t="shared" si="20"/>
        <v>2.799999999999999</v>
      </c>
      <c r="L73" s="385">
        <f t="shared" si="20"/>
        <v>37.800000000000004</v>
      </c>
      <c r="M73" s="47">
        <f>J73+K73+L73</f>
        <v>-7.100000000000001</v>
      </c>
      <c r="N73" s="54">
        <f t="shared" si="22"/>
        <v>1577.7599999999998</v>
      </c>
      <c r="O73" s="54">
        <f t="shared" si="15"/>
        <v>126.12599999999998</v>
      </c>
      <c r="P73" s="54">
        <f t="shared" si="23"/>
        <v>381.3809999999999</v>
      </c>
      <c r="Q73" s="54">
        <f t="shared" si="16"/>
        <v>2085.267</v>
      </c>
      <c r="R73" s="54">
        <f t="shared" si="26"/>
        <v>3145.6589999999997</v>
      </c>
      <c r="S73" s="54">
        <f t="shared" si="17"/>
        <v>98.09799999999998</v>
      </c>
      <c r="T73" s="54">
        <f t="shared" si="18"/>
        <v>3.0029999999999992</v>
      </c>
      <c r="U73" s="54">
        <f t="shared" si="24"/>
        <v>3246.7599999999998</v>
      </c>
      <c r="V73" s="386">
        <f t="shared" si="25"/>
        <v>-1567.899</v>
      </c>
      <c r="W73" s="386">
        <f t="shared" si="25"/>
        <v>28.02799999999999</v>
      </c>
      <c r="X73" s="386">
        <f>P73-T73</f>
        <v>378.37799999999993</v>
      </c>
      <c r="Y73" s="386">
        <f>V73+W73+X73</f>
        <v>-1161.493</v>
      </c>
    </row>
    <row r="74" spans="1:25" ht="12.75">
      <c r="A74" s="24" t="s">
        <v>11</v>
      </c>
      <c r="B74" s="52">
        <f t="shared" si="29"/>
        <v>224</v>
      </c>
      <c r="C74" s="52">
        <f t="shared" si="29"/>
        <v>0</v>
      </c>
      <c r="D74" s="52">
        <f t="shared" si="29"/>
        <v>0</v>
      </c>
      <c r="E74" s="53">
        <f t="shared" si="13"/>
        <v>224</v>
      </c>
      <c r="F74" s="52">
        <f t="shared" si="30"/>
        <v>35.2</v>
      </c>
      <c r="G74" s="52">
        <f t="shared" si="30"/>
        <v>51.1</v>
      </c>
      <c r="H74" s="52">
        <f t="shared" si="30"/>
        <v>1.2</v>
      </c>
      <c r="I74" s="53">
        <f t="shared" si="14"/>
        <v>87.50000000000001</v>
      </c>
      <c r="J74" s="385">
        <f t="shared" si="20"/>
        <v>188.8</v>
      </c>
      <c r="K74" s="385">
        <f t="shared" si="20"/>
        <v>-51.1</v>
      </c>
      <c r="L74" s="385">
        <f t="shared" si="20"/>
        <v>-1.2</v>
      </c>
      <c r="M74" s="47">
        <f>J74+K74+L74</f>
        <v>136.50000000000003</v>
      </c>
      <c r="N74" s="54">
        <f t="shared" si="22"/>
        <v>12320</v>
      </c>
      <c r="O74" s="54">
        <f t="shared" si="15"/>
        <v>0</v>
      </c>
      <c r="P74" s="54">
        <f t="shared" si="23"/>
        <v>0</v>
      </c>
      <c r="Q74" s="54">
        <f t="shared" si="16"/>
        <v>12320</v>
      </c>
      <c r="R74" s="54">
        <f t="shared" si="26"/>
        <v>1936.0000000000002</v>
      </c>
      <c r="S74" s="54">
        <f t="shared" si="17"/>
        <v>1642.354</v>
      </c>
      <c r="T74" s="54">
        <f t="shared" si="18"/>
        <v>38.568</v>
      </c>
      <c r="U74" s="54">
        <f t="shared" si="24"/>
        <v>3616.9220000000005</v>
      </c>
      <c r="V74" s="386">
        <f t="shared" si="25"/>
        <v>10384</v>
      </c>
      <c r="W74" s="386">
        <f t="shared" si="25"/>
        <v>-1642.354</v>
      </c>
      <c r="X74" s="386">
        <f t="shared" si="25"/>
        <v>-38.568</v>
      </c>
      <c r="Y74" s="386">
        <f>V74+W74+X74</f>
        <v>8703.078000000001</v>
      </c>
    </row>
    <row r="75" spans="1:25" ht="12.75">
      <c r="A75" s="24" t="s">
        <v>10</v>
      </c>
      <c r="B75" s="52">
        <f t="shared" si="29"/>
        <v>27</v>
      </c>
      <c r="C75" s="52">
        <f t="shared" si="29"/>
        <v>0.2</v>
      </c>
      <c r="D75" s="52">
        <f t="shared" si="29"/>
        <v>54.7</v>
      </c>
      <c r="E75" s="53">
        <f t="shared" si="13"/>
        <v>81.9</v>
      </c>
      <c r="F75" s="52">
        <f t="shared" si="30"/>
        <v>143.9</v>
      </c>
      <c r="G75" s="52">
        <f t="shared" si="30"/>
        <v>0.2</v>
      </c>
      <c r="H75" s="52">
        <f t="shared" si="30"/>
        <v>2.1</v>
      </c>
      <c r="I75" s="53">
        <f t="shared" si="14"/>
        <v>146.2</v>
      </c>
      <c r="J75" s="385">
        <f t="shared" si="20"/>
        <v>-116.9</v>
      </c>
      <c r="K75" s="385">
        <f t="shared" si="20"/>
        <v>0</v>
      </c>
      <c r="L75" s="385">
        <f t="shared" si="20"/>
        <v>52.6</v>
      </c>
      <c r="M75" s="47">
        <f>J75+K75+L75</f>
        <v>-64.30000000000001</v>
      </c>
      <c r="N75" s="54">
        <f>B75*D17</f>
        <v>887.4899999999999</v>
      </c>
      <c r="O75" s="54">
        <f t="shared" si="15"/>
        <v>2.002</v>
      </c>
      <c r="P75" s="54">
        <f t="shared" si="23"/>
        <v>547.5469999999999</v>
      </c>
      <c r="Q75" s="54">
        <f t="shared" si="16"/>
        <v>1437.0389999999998</v>
      </c>
      <c r="R75" s="54">
        <f t="shared" si="26"/>
        <v>4729.9929999999995</v>
      </c>
      <c r="S75" s="54">
        <f t="shared" si="17"/>
        <v>2.002</v>
      </c>
      <c r="T75" s="54">
        <f t="shared" si="18"/>
        <v>21.020999999999997</v>
      </c>
      <c r="U75" s="54">
        <f t="shared" si="24"/>
        <v>4753.016</v>
      </c>
      <c r="V75" s="386">
        <f t="shared" si="25"/>
        <v>-3842.5029999999997</v>
      </c>
      <c r="W75" s="386">
        <f>O75-S75</f>
        <v>0</v>
      </c>
      <c r="X75" s="386">
        <f t="shared" si="25"/>
        <v>526.526</v>
      </c>
      <c r="Y75" s="386">
        <f>V75+W75+X75</f>
        <v>-3315.977</v>
      </c>
    </row>
    <row r="76" spans="1:25" ht="12.75">
      <c r="A76" s="226" t="s">
        <v>50</v>
      </c>
      <c r="B76" s="58">
        <f aca="true" t="shared" si="31" ref="B76:N76">SUM(B63:B75)</f>
        <v>1079.1</v>
      </c>
      <c r="C76" s="58">
        <f t="shared" si="31"/>
        <v>870.1</v>
      </c>
      <c r="D76" s="58">
        <f t="shared" si="31"/>
        <v>344.4</v>
      </c>
      <c r="E76" s="75">
        <f t="shared" si="31"/>
        <v>2293.6</v>
      </c>
      <c r="F76" s="58">
        <f t="shared" si="31"/>
        <v>1345.0000000000002</v>
      </c>
      <c r="G76" s="58">
        <f t="shared" si="31"/>
        <v>177.7</v>
      </c>
      <c r="H76" s="58">
        <f t="shared" si="31"/>
        <v>89.89999999999999</v>
      </c>
      <c r="I76" s="75">
        <f t="shared" si="31"/>
        <v>1612.6000000000001</v>
      </c>
      <c r="J76" s="75">
        <f t="shared" si="31"/>
        <v>-265.9000000000001</v>
      </c>
      <c r="K76" s="75">
        <f t="shared" si="31"/>
        <v>692.4</v>
      </c>
      <c r="L76" s="75">
        <f t="shared" si="31"/>
        <v>254.5</v>
      </c>
      <c r="M76" s="75">
        <f t="shared" si="31"/>
        <v>681</v>
      </c>
      <c r="N76" s="76">
        <f t="shared" si="31"/>
        <v>40427.13699999999</v>
      </c>
      <c r="O76" s="76">
        <f aca="true" t="shared" si="32" ref="O76:W76">SUM(O63:O75)</f>
        <v>8709.700999999997</v>
      </c>
      <c r="P76" s="76">
        <f t="shared" si="32"/>
        <v>3447.4439999999995</v>
      </c>
      <c r="Q76" s="76">
        <f>SUM(Q63:Q75)</f>
        <v>52584.281999999985</v>
      </c>
      <c r="R76" s="76">
        <f t="shared" si="32"/>
        <v>44989.126</v>
      </c>
      <c r="S76" s="76">
        <f t="shared" si="32"/>
        <v>2909.6199999999994</v>
      </c>
      <c r="T76" s="76">
        <f t="shared" si="32"/>
        <v>926.4549999999999</v>
      </c>
      <c r="U76" s="76">
        <f>SUM(U63:U75)</f>
        <v>48825.201</v>
      </c>
      <c r="V76" s="387">
        <f t="shared" si="32"/>
        <v>-4561.989000000004</v>
      </c>
      <c r="W76" s="387">
        <f t="shared" si="32"/>
        <v>5800.080999999999</v>
      </c>
      <c r="X76" s="387">
        <f>SUM(X63:X75)</f>
        <v>2520.9889999999996</v>
      </c>
      <c r="Y76" s="387">
        <f>SUM(Y63:Y75)</f>
        <v>3759.0809999999956</v>
      </c>
    </row>
    <row r="77" spans="1:25" ht="12.75">
      <c r="A77" s="7"/>
      <c r="B77" s="388"/>
      <c r="C77" s="388"/>
      <c r="D77" s="388"/>
      <c r="E77" s="389"/>
      <c r="F77" s="388"/>
      <c r="G77" s="388"/>
      <c r="H77" s="388"/>
      <c r="I77" s="389"/>
      <c r="J77" s="388"/>
      <c r="K77" s="388"/>
      <c r="L77" s="388"/>
      <c r="M77" s="388"/>
      <c r="N77" s="390"/>
      <c r="O77" s="390"/>
      <c r="P77" s="390"/>
      <c r="Q77" s="390"/>
      <c r="R77" s="390"/>
      <c r="S77" s="390"/>
      <c r="T77" s="390"/>
      <c r="U77" s="390"/>
      <c r="V77" s="390"/>
      <c r="W77" s="390"/>
      <c r="X77" s="390"/>
      <c r="Y77" s="390" t="s">
        <v>24</v>
      </c>
    </row>
    <row r="78" spans="1:10" ht="15.75">
      <c r="A78" s="679" t="s">
        <v>277</v>
      </c>
      <c r="B78" s="679"/>
      <c r="C78" s="391"/>
      <c r="D78" s="391"/>
      <c r="F78" s="392"/>
      <c r="G78" s="364"/>
      <c r="H78" s="364"/>
      <c r="I78" s="393"/>
      <c r="J78" s="391"/>
    </row>
    <row r="79" spans="1:10" ht="12.75">
      <c r="A79" s="680" t="s">
        <v>3</v>
      </c>
      <c r="B79" s="682" t="s">
        <v>268</v>
      </c>
      <c r="C79" s="682"/>
      <c r="D79" s="682"/>
      <c r="E79" s="682" t="s">
        <v>278</v>
      </c>
      <c r="F79" s="682"/>
      <c r="G79" s="682"/>
      <c r="H79" s="682"/>
      <c r="I79" s="38"/>
      <c r="J79" s="59"/>
    </row>
    <row r="80" spans="1:10" ht="63.75">
      <c r="A80" s="681"/>
      <c r="B80" s="539" t="s">
        <v>269</v>
      </c>
      <c r="C80" s="203" t="s">
        <v>248</v>
      </c>
      <c r="D80" s="203" t="s">
        <v>249</v>
      </c>
      <c r="E80" s="539" t="s">
        <v>269</v>
      </c>
      <c r="F80" s="203" t="s">
        <v>248</v>
      </c>
      <c r="G80" s="203" t="s">
        <v>249</v>
      </c>
      <c r="H80" s="394" t="s">
        <v>159</v>
      </c>
      <c r="I80" s="539" t="s">
        <v>279</v>
      </c>
      <c r="J80" s="539" t="s">
        <v>280</v>
      </c>
    </row>
    <row r="81" spans="1:10" ht="12.75">
      <c r="A81" s="226" t="s">
        <v>46</v>
      </c>
      <c r="B81" s="52">
        <f>N29-N30-N37-N39</f>
        <v>0</v>
      </c>
      <c r="C81" s="52">
        <f>O29-O30-O37-O39</f>
        <v>0</v>
      </c>
      <c r="D81" s="52">
        <f>P29-P30-P37-P39</f>
        <v>0</v>
      </c>
      <c r="E81" s="33">
        <f aca="true" t="shared" si="33" ref="E81:E93">B81*D5</f>
        <v>0</v>
      </c>
      <c r="F81" s="33">
        <f aca="true" t="shared" si="34" ref="F81:F93">C81*F5</f>
        <v>0</v>
      </c>
      <c r="G81" s="33">
        <f aca="true" t="shared" si="35" ref="G81:G93">D81*H5</f>
        <v>0</v>
      </c>
      <c r="H81" s="33">
        <f>E81+F81+G81</f>
        <v>0</v>
      </c>
      <c r="I81" s="33">
        <v>0</v>
      </c>
      <c r="J81" s="33">
        <v>0</v>
      </c>
    </row>
    <row r="82" spans="1:11" ht="12.75">
      <c r="A82" s="226" t="s">
        <v>49</v>
      </c>
      <c r="B82" s="52">
        <f>N30-N31-N32-N41</f>
        <v>0</v>
      </c>
      <c r="C82" s="52">
        <f>O30-O31-O32-O41</f>
        <v>0</v>
      </c>
      <c r="D82" s="52">
        <f>P30-P31-P32-P41</f>
        <v>0</v>
      </c>
      <c r="E82" s="33">
        <f>B82*D6</f>
        <v>0</v>
      </c>
      <c r="F82" s="33">
        <f t="shared" si="34"/>
        <v>0</v>
      </c>
      <c r="G82" s="33">
        <f t="shared" si="35"/>
        <v>0</v>
      </c>
      <c r="H82" s="33">
        <f>E82+F82+G82</f>
        <v>0</v>
      </c>
      <c r="I82" s="33">
        <v>0</v>
      </c>
      <c r="J82" s="33">
        <f>H82</f>
        <v>0</v>
      </c>
      <c r="K82" s="4" t="s">
        <v>24</v>
      </c>
    </row>
    <row r="83" spans="1:10" ht="12.75">
      <c r="A83" s="226" t="s">
        <v>48</v>
      </c>
      <c r="B83" s="52">
        <f>N31-N33-N35</f>
        <v>0</v>
      </c>
      <c r="C83" s="52">
        <f>O31-O33-O35</f>
        <v>0</v>
      </c>
      <c r="D83" s="52">
        <f>P31-P33-P35</f>
        <v>0</v>
      </c>
      <c r="E83" s="33">
        <f t="shared" si="33"/>
        <v>0</v>
      </c>
      <c r="F83" s="33">
        <f t="shared" si="34"/>
        <v>0</v>
      </c>
      <c r="G83" s="33">
        <f t="shared" si="35"/>
        <v>0</v>
      </c>
      <c r="H83" s="33">
        <f>E83+F83+G83</f>
        <v>0</v>
      </c>
      <c r="I83" s="33">
        <v>0</v>
      </c>
      <c r="J83" s="33">
        <v>0</v>
      </c>
    </row>
    <row r="84" spans="1:10" ht="12.75">
      <c r="A84" s="226" t="s">
        <v>47</v>
      </c>
      <c r="B84" s="52">
        <f>N32-N36-N40</f>
        <v>0</v>
      </c>
      <c r="C84" s="52">
        <f>O32-O36-O40</f>
        <v>0</v>
      </c>
      <c r="D84" s="52">
        <f>P32-P36-P40</f>
        <v>0</v>
      </c>
      <c r="E84" s="33">
        <f t="shared" si="33"/>
        <v>0</v>
      </c>
      <c r="F84" s="33">
        <f t="shared" si="34"/>
        <v>0</v>
      </c>
      <c r="G84" s="33">
        <f t="shared" si="35"/>
        <v>0</v>
      </c>
      <c r="H84" s="33">
        <f aca="true" t="shared" si="36" ref="H84:H89">E84+F84+G84</f>
        <v>0</v>
      </c>
      <c r="I84" s="33">
        <v>0</v>
      </c>
      <c r="J84" s="33">
        <v>0</v>
      </c>
    </row>
    <row r="85" spans="1:10" ht="12.75">
      <c r="A85" s="226" t="s">
        <v>39</v>
      </c>
      <c r="B85" s="52">
        <f>N33-N34</f>
        <v>0</v>
      </c>
      <c r="C85" s="52">
        <f>O33-O34</f>
        <v>0</v>
      </c>
      <c r="D85" s="52">
        <f>P33-P34</f>
        <v>0</v>
      </c>
      <c r="E85" s="33">
        <f t="shared" si="33"/>
        <v>0</v>
      </c>
      <c r="F85" s="33">
        <f t="shared" si="34"/>
        <v>0</v>
      </c>
      <c r="G85" s="33">
        <f t="shared" si="35"/>
        <v>0</v>
      </c>
      <c r="H85" s="33">
        <f t="shared" si="36"/>
        <v>0</v>
      </c>
      <c r="I85" s="33">
        <v>0</v>
      </c>
      <c r="J85" s="33">
        <v>0</v>
      </c>
    </row>
    <row r="86" spans="1:10" ht="12.75">
      <c r="A86" s="226" t="s">
        <v>36</v>
      </c>
      <c r="B86" s="52">
        <f aca="true" t="shared" si="37" ref="B86:D88">N34</f>
        <v>0</v>
      </c>
      <c r="C86" s="52">
        <f t="shared" si="37"/>
        <v>0</v>
      </c>
      <c r="D86" s="52">
        <f t="shared" si="37"/>
        <v>0</v>
      </c>
      <c r="E86" s="33">
        <f t="shared" si="33"/>
        <v>0</v>
      </c>
      <c r="F86" s="33">
        <f t="shared" si="34"/>
        <v>0</v>
      </c>
      <c r="G86" s="33">
        <f t="shared" si="35"/>
        <v>0</v>
      </c>
      <c r="H86" s="33">
        <f t="shared" si="36"/>
        <v>0</v>
      </c>
      <c r="I86" s="33">
        <v>0</v>
      </c>
      <c r="J86" s="33">
        <v>0</v>
      </c>
    </row>
    <row r="87" spans="1:10" ht="12.75">
      <c r="A87" s="226" t="s">
        <v>37</v>
      </c>
      <c r="B87" s="52">
        <f t="shared" si="37"/>
        <v>0</v>
      </c>
      <c r="C87" s="52">
        <f t="shared" si="37"/>
        <v>0</v>
      </c>
      <c r="D87" s="52">
        <f t="shared" si="37"/>
        <v>0</v>
      </c>
      <c r="E87" s="33">
        <f t="shared" si="33"/>
        <v>0</v>
      </c>
      <c r="F87" s="33">
        <f t="shared" si="34"/>
        <v>0</v>
      </c>
      <c r="G87" s="33">
        <f t="shared" si="35"/>
        <v>0</v>
      </c>
      <c r="H87" s="33">
        <f t="shared" si="36"/>
        <v>0</v>
      </c>
      <c r="I87" s="33">
        <v>0</v>
      </c>
      <c r="J87" s="33">
        <v>0</v>
      </c>
    </row>
    <row r="88" spans="1:10" ht="12.75">
      <c r="A88" s="226" t="s">
        <v>15</v>
      </c>
      <c r="B88" s="52">
        <f t="shared" si="37"/>
        <v>0</v>
      </c>
      <c r="C88" s="52">
        <f t="shared" si="37"/>
        <v>0</v>
      </c>
      <c r="D88" s="52">
        <f t="shared" si="37"/>
        <v>0</v>
      </c>
      <c r="E88" s="33">
        <f t="shared" si="33"/>
        <v>0</v>
      </c>
      <c r="F88" s="33">
        <f t="shared" si="34"/>
        <v>0</v>
      </c>
      <c r="G88" s="33">
        <f t="shared" si="35"/>
        <v>0</v>
      </c>
      <c r="H88" s="33">
        <f t="shared" si="36"/>
        <v>0</v>
      </c>
      <c r="I88" s="33">
        <v>0</v>
      </c>
      <c r="J88" s="33">
        <v>0</v>
      </c>
    </row>
    <row r="89" spans="1:10" ht="12.75">
      <c r="A89" s="226" t="s">
        <v>128</v>
      </c>
      <c r="B89" s="52">
        <f>N37-N38</f>
        <v>0</v>
      </c>
      <c r="C89" s="52">
        <f>O37-O38</f>
        <v>0</v>
      </c>
      <c r="D89" s="52">
        <f>P37-P38</f>
        <v>0</v>
      </c>
      <c r="E89" s="33">
        <f t="shared" si="33"/>
        <v>0</v>
      </c>
      <c r="F89" s="33">
        <f t="shared" si="34"/>
        <v>0</v>
      </c>
      <c r="G89" s="33">
        <f t="shared" si="35"/>
        <v>0</v>
      </c>
      <c r="H89" s="33">
        <f t="shared" si="36"/>
        <v>0</v>
      </c>
      <c r="I89" s="33">
        <f>H89*0</f>
        <v>0</v>
      </c>
      <c r="J89" s="33">
        <f>H89*1</f>
        <v>0</v>
      </c>
    </row>
    <row r="90" spans="1:10" ht="12.75">
      <c r="A90" s="24" t="s">
        <v>127</v>
      </c>
      <c r="B90" s="52">
        <f aca="true" t="shared" si="38" ref="B90:D93">N38</f>
        <v>0</v>
      </c>
      <c r="C90" s="52">
        <f t="shared" si="38"/>
        <v>0</v>
      </c>
      <c r="D90" s="52">
        <f t="shared" si="38"/>
        <v>0</v>
      </c>
      <c r="E90" s="33">
        <f t="shared" si="33"/>
        <v>0</v>
      </c>
      <c r="F90" s="33">
        <f t="shared" si="34"/>
        <v>0</v>
      </c>
      <c r="G90" s="33">
        <f t="shared" si="35"/>
        <v>0</v>
      </c>
      <c r="H90" s="33">
        <f>E90+F90+G90</f>
        <v>0</v>
      </c>
      <c r="I90" s="33">
        <f>H90*0</f>
        <v>0</v>
      </c>
      <c r="J90" s="33">
        <f>H90*1</f>
        <v>0</v>
      </c>
    </row>
    <row r="91" spans="1:10" ht="12.75">
      <c r="A91" s="24" t="s">
        <v>20</v>
      </c>
      <c r="B91" s="52">
        <f t="shared" si="38"/>
        <v>0</v>
      </c>
      <c r="C91" s="52">
        <f t="shared" si="38"/>
        <v>0</v>
      </c>
      <c r="D91" s="52">
        <f t="shared" si="38"/>
        <v>0</v>
      </c>
      <c r="E91" s="33">
        <f t="shared" si="33"/>
        <v>0</v>
      </c>
      <c r="F91" s="33">
        <f t="shared" si="34"/>
        <v>0</v>
      </c>
      <c r="G91" s="33">
        <f t="shared" si="35"/>
        <v>0</v>
      </c>
      <c r="H91" s="33">
        <f>E91+F91+G91</f>
        <v>0</v>
      </c>
      <c r="I91" s="33">
        <f>H91*0</f>
        <v>0</v>
      </c>
      <c r="J91" s="33">
        <f>H91*1</f>
        <v>0</v>
      </c>
    </row>
    <row r="92" spans="1:10" ht="12.75">
      <c r="A92" s="24" t="s">
        <v>11</v>
      </c>
      <c r="B92" s="52">
        <f t="shared" si="38"/>
        <v>0</v>
      </c>
      <c r="C92" s="52">
        <f t="shared" si="38"/>
        <v>0</v>
      </c>
      <c r="D92" s="52">
        <f t="shared" si="38"/>
        <v>0</v>
      </c>
      <c r="E92" s="33">
        <f t="shared" si="33"/>
        <v>0</v>
      </c>
      <c r="F92" s="33">
        <f t="shared" si="34"/>
        <v>0</v>
      </c>
      <c r="G92" s="33">
        <f t="shared" si="35"/>
        <v>0</v>
      </c>
      <c r="H92" s="33">
        <f>E92+F92+G92</f>
        <v>0</v>
      </c>
      <c r="I92" s="33">
        <f>H92*0</f>
        <v>0</v>
      </c>
      <c r="J92" s="33">
        <f>H92*1</f>
        <v>0</v>
      </c>
    </row>
    <row r="93" spans="1:10" ht="12.75">
      <c r="A93" s="24" t="s">
        <v>10</v>
      </c>
      <c r="B93" s="52">
        <f t="shared" si="38"/>
        <v>0</v>
      </c>
      <c r="C93" s="52">
        <f t="shared" si="38"/>
        <v>0</v>
      </c>
      <c r="D93" s="52">
        <f t="shared" si="38"/>
        <v>0</v>
      </c>
      <c r="E93" s="33">
        <f t="shared" si="33"/>
        <v>0</v>
      </c>
      <c r="F93" s="33">
        <f t="shared" si="34"/>
        <v>0</v>
      </c>
      <c r="G93" s="33">
        <f t="shared" si="35"/>
        <v>0</v>
      </c>
      <c r="H93" s="33">
        <f>E93+F93+G93</f>
        <v>0</v>
      </c>
      <c r="I93" s="33">
        <f>H93*0</f>
        <v>0</v>
      </c>
      <c r="J93" s="33">
        <f>H93*1</f>
        <v>0</v>
      </c>
    </row>
    <row r="94" spans="1:10" ht="12.75">
      <c r="A94" s="226" t="s">
        <v>50</v>
      </c>
      <c r="B94" s="58">
        <f aca="true" t="shared" si="39" ref="B94:J94">SUM(B81:B93)</f>
        <v>0</v>
      </c>
      <c r="C94" s="58">
        <f t="shared" si="39"/>
        <v>0</v>
      </c>
      <c r="D94" s="58">
        <f t="shared" si="39"/>
        <v>0</v>
      </c>
      <c r="E94" s="44">
        <f t="shared" si="39"/>
        <v>0</v>
      </c>
      <c r="F94" s="44">
        <f t="shared" si="39"/>
        <v>0</v>
      </c>
      <c r="G94" s="44">
        <f t="shared" si="39"/>
        <v>0</v>
      </c>
      <c r="H94" s="44">
        <f t="shared" si="39"/>
        <v>0</v>
      </c>
      <c r="I94" s="76">
        <f>SUM(I81:I93)</f>
        <v>0</v>
      </c>
      <c r="J94" s="44">
        <f t="shared" si="39"/>
        <v>0</v>
      </c>
    </row>
  </sheetData>
  <sheetProtection/>
  <mergeCells count="26">
    <mergeCell ref="A3:B3"/>
    <mergeCell ref="A24:H24"/>
    <mergeCell ref="A25:H25"/>
    <mergeCell ref="A26:D26"/>
    <mergeCell ref="A27:A28"/>
    <mergeCell ref="B27:E27"/>
    <mergeCell ref="F27:I27"/>
    <mergeCell ref="J27:M27"/>
    <mergeCell ref="N27:Q27"/>
    <mergeCell ref="A43:C43"/>
    <mergeCell ref="A44:A45"/>
    <mergeCell ref="B44:E44"/>
    <mergeCell ref="F44:I44"/>
    <mergeCell ref="J44:M44"/>
    <mergeCell ref="A60:B60"/>
    <mergeCell ref="A61:A62"/>
    <mergeCell ref="B61:E61"/>
    <mergeCell ref="F61:I61"/>
    <mergeCell ref="J61:M61"/>
    <mergeCell ref="N61:Q61"/>
    <mergeCell ref="R61:U61"/>
    <mergeCell ref="V61:Y61"/>
    <mergeCell ref="A78:B78"/>
    <mergeCell ref="A79:A80"/>
    <mergeCell ref="B79:D79"/>
    <mergeCell ref="E79:H79"/>
  </mergeCells>
  <printOptions/>
  <pageMargins left="0.7" right="0.7" top="0.75" bottom="0.75" header="0.3" footer="0.3"/>
  <pageSetup fitToHeight="1" fitToWidth="1" horizontalDpi="600" verticalDpi="600" orientation="landscape" paperSize="17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14" width="16.7109375" style="0" customWidth="1"/>
  </cols>
  <sheetData>
    <row r="1" spans="1:12" ht="18.75">
      <c r="A1" s="111" t="s">
        <v>344</v>
      </c>
      <c r="B1" s="4"/>
      <c r="C1" s="4"/>
      <c r="D1" s="4"/>
      <c r="G1" s="16" t="s">
        <v>24</v>
      </c>
      <c r="H1" s="4"/>
      <c r="I1" s="4"/>
      <c r="J1" s="4"/>
      <c r="K1" s="4"/>
      <c r="L1" s="4"/>
    </row>
    <row r="2" spans="1:12" ht="12.75">
      <c r="A2" s="395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>
      <c r="A3" s="499" t="s">
        <v>0</v>
      </c>
      <c r="B3" s="500"/>
      <c r="C3" s="4"/>
      <c r="D3" s="1" t="s">
        <v>24</v>
      </c>
      <c r="E3" s="4"/>
      <c r="F3" s="4"/>
      <c r="G3" s="4"/>
      <c r="H3" s="4"/>
      <c r="I3" s="4"/>
      <c r="J3" s="4"/>
      <c r="K3" s="4"/>
      <c r="L3" s="4"/>
    </row>
    <row r="4" spans="1:12" ht="12.75">
      <c r="A4" s="226" t="s">
        <v>1</v>
      </c>
      <c r="B4" s="501">
        <v>0.159</v>
      </c>
      <c r="C4" s="4"/>
      <c r="D4" s="396" t="s">
        <v>24</v>
      </c>
      <c r="E4" s="377" t="s">
        <v>24</v>
      </c>
      <c r="F4" s="377" t="s">
        <v>24</v>
      </c>
      <c r="G4" s="377" t="s">
        <v>24</v>
      </c>
      <c r="H4" s="377" t="s">
        <v>24</v>
      </c>
      <c r="I4" s="377" t="s">
        <v>24</v>
      </c>
      <c r="J4" s="377" t="s">
        <v>24</v>
      </c>
      <c r="K4" s="4"/>
      <c r="L4" s="377" t="s">
        <v>24</v>
      </c>
    </row>
    <row r="5" spans="1:12" ht="12.75">
      <c r="A5" s="211" t="s">
        <v>2</v>
      </c>
      <c r="B5" s="502">
        <v>0.0599</v>
      </c>
      <c r="C5" s="4"/>
      <c r="D5" s="397" t="s">
        <v>24</v>
      </c>
      <c r="E5" s="398" t="s">
        <v>24</v>
      </c>
      <c r="F5" s="399" t="s">
        <v>24</v>
      </c>
      <c r="G5" s="399" t="s">
        <v>24</v>
      </c>
      <c r="H5" s="399" t="s">
        <v>24</v>
      </c>
      <c r="I5" s="399" t="s">
        <v>24</v>
      </c>
      <c r="J5" s="377" t="s">
        <v>24</v>
      </c>
      <c r="K5" s="377" t="s">
        <v>24</v>
      </c>
      <c r="L5" s="398" t="s">
        <v>24</v>
      </c>
    </row>
    <row r="6" spans="1:12" ht="12.75">
      <c r="A6" s="226" t="s">
        <v>4</v>
      </c>
      <c r="B6" s="503">
        <v>1.0896</v>
      </c>
      <c r="C6" s="4"/>
      <c r="D6" s="400" t="s">
        <v>24</v>
      </c>
      <c r="E6" s="401" t="s">
        <v>24</v>
      </c>
      <c r="F6" s="402" t="s">
        <v>24</v>
      </c>
      <c r="G6" s="403" t="s">
        <v>24</v>
      </c>
      <c r="H6" s="404" t="s">
        <v>24</v>
      </c>
      <c r="I6" s="404" t="s">
        <v>24</v>
      </c>
      <c r="J6" s="404" t="s">
        <v>24</v>
      </c>
      <c r="K6" s="405" t="s">
        <v>24</v>
      </c>
      <c r="L6" s="406" t="s">
        <v>24</v>
      </c>
    </row>
    <row r="7" spans="1:12" ht="12.75">
      <c r="A7" s="226" t="s">
        <v>281</v>
      </c>
      <c r="B7" s="48">
        <v>152919.8</v>
      </c>
      <c r="C7" s="4"/>
      <c r="D7" s="7" t="s">
        <v>24</v>
      </c>
      <c r="E7" s="398" t="s">
        <v>24</v>
      </c>
      <c r="F7" s="407" t="s">
        <v>24</v>
      </c>
      <c r="G7" s="402" t="s">
        <v>24</v>
      </c>
      <c r="H7" s="402" t="s">
        <v>24</v>
      </c>
      <c r="I7" s="402" t="s">
        <v>24</v>
      </c>
      <c r="J7" s="403" t="s">
        <v>24</v>
      </c>
      <c r="K7" s="404"/>
      <c r="L7" s="398" t="s">
        <v>24</v>
      </c>
    </row>
    <row r="8" spans="1:12" ht="12.75">
      <c r="A8" s="226" t="s">
        <v>23</v>
      </c>
      <c r="B8" s="504">
        <f>B13/(G60*B6)</f>
        <v>1.078524983423116</v>
      </c>
      <c r="C8" s="408" t="s">
        <v>24</v>
      </c>
      <c r="D8" s="409" t="s">
        <v>24</v>
      </c>
      <c r="E8" s="398" t="s">
        <v>24</v>
      </c>
      <c r="F8" s="407" t="s">
        <v>24</v>
      </c>
      <c r="G8" s="403" t="s">
        <v>24</v>
      </c>
      <c r="H8" s="403" t="s">
        <v>24</v>
      </c>
      <c r="I8" s="403" t="s">
        <v>24</v>
      </c>
      <c r="J8" s="403" t="s">
        <v>24</v>
      </c>
      <c r="K8" s="404" t="s">
        <v>24</v>
      </c>
      <c r="L8" s="398" t="s">
        <v>24</v>
      </c>
    </row>
    <row r="9" spans="1:12" ht="12.75">
      <c r="A9" s="4"/>
      <c r="B9" s="5"/>
      <c r="C9" s="113" t="s">
        <v>24</v>
      </c>
      <c r="D9" s="9" t="s">
        <v>24</v>
      </c>
      <c r="E9" s="5" t="s">
        <v>24</v>
      </c>
      <c r="F9" s="410" t="s">
        <v>24</v>
      </c>
      <c r="G9" s="5" t="s">
        <v>24</v>
      </c>
      <c r="H9" s="12" t="s">
        <v>24</v>
      </c>
      <c r="I9" s="4"/>
      <c r="J9" s="4"/>
      <c r="K9" s="4"/>
      <c r="L9" s="4" t="s">
        <v>24</v>
      </c>
    </row>
    <row r="10" spans="1:12" ht="12.75">
      <c r="A10" s="9"/>
      <c r="B10" s="411"/>
      <c r="C10" s="411" t="s">
        <v>24</v>
      </c>
      <c r="D10" s="364" t="s">
        <v>24</v>
      </c>
      <c r="E10" s="365"/>
      <c r="F10" s="366"/>
      <c r="G10" s="412" t="s">
        <v>24</v>
      </c>
      <c r="H10" s="366"/>
      <c r="I10" s="413" t="s">
        <v>24</v>
      </c>
      <c r="J10" s="363"/>
      <c r="K10" s="363"/>
      <c r="L10" s="375"/>
    </row>
    <row r="11" spans="1:12" ht="15.75">
      <c r="A11" s="414" t="s">
        <v>282</v>
      </c>
      <c r="B11" s="364"/>
      <c r="C11" s="364"/>
      <c r="D11" s="364"/>
      <c r="E11" s="415" t="s">
        <v>24</v>
      </c>
      <c r="F11" s="416"/>
      <c r="G11" s="416"/>
      <c r="H11" s="416"/>
      <c r="I11" s="413" t="s">
        <v>24</v>
      </c>
      <c r="J11" s="363"/>
      <c r="K11" s="363"/>
      <c r="L11" s="375"/>
    </row>
    <row r="12" spans="1:12" ht="63.75">
      <c r="A12" s="539" t="s">
        <v>3</v>
      </c>
      <c r="B12" s="539" t="s">
        <v>283</v>
      </c>
      <c r="C12" s="539" t="s">
        <v>284</v>
      </c>
      <c r="D12" s="539" t="s">
        <v>285</v>
      </c>
      <c r="E12" s="539" t="s">
        <v>186</v>
      </c>
      <c r="F12" s="539" t="s">
        <v>183</v>
      </c>
      <c r="G12" s="539" t="s">
        <v>216</v>
      </c>
      <c r="H12" s="539" t="s">
        <v>217</v>
      </c>
      <c r="I12" s="539" t="s">
        <v>286</v>
      </c>
      <c r="J12" s="539" t="s">
        <v>187</v>
      </c>
      <c r="K12" s="539" t="s">
        <v>287</v>
      </c>
      <c r="L12" s="417"/>
    </row>
    <row r="13" spans="1:12" ht="12.75">
      <c r="A13" s="226" t="s">
        <v>6</v>
      </c>
      <c r="B13" s="540">
        <f>'BRA Resource Clearing Results'!E69-'1stIA Resource Clearing Results'!M29-'2ndIA Resource Clearing Results'!M29</f>
        <v>164927.99999999997</v>
      </c>
      <c r="C13" s="576">
        <f>('BRA Resource Clearing Results'!E69*'BRA Resource Clearing Results'!B5-'1stIA Resource Clearing Results'!M29*'1stIA Resource Clearing Results'!B5-'2ndIA Resource Clearing Results'!M29*'2ndIA Resource Clearing Results'!B5)/('BRA Resource Clearing Results'!E69-'1stIA Resource Clearing Results'!M29-'2ndIA Resource Clearing Results'!M29)</f>
        <v>100.7779373605452</v>
      </c>
      <c r="D13" s="576">
        <f>('BRA Resource Clearing Results'!E69*'BRA Resource Clearing Results'!C5-'1stIA Resource Clearing Results'!M29*'1stIA Resource Clearing Results'!C5-'2ndIA Resource Clearing Results'!M29*'2ndIA Resource Clearing Results'!C5)/('BRA Resource Clearing Results'!E69-'1stIA Resource Clearing Results'!M29-'2ndIA Resource Clearing Results'!M29)</f>
        <v>0</v>
      </c>
      <c r="E13" s="577">
        <f>('BRA Resource Clearing Results'!C29+'BRA Resource Clearing Results'!D29)*'BRA Resource Clearing Results'!E5-('1stIA Resource Clearing Results'!K29+'1stIA Resource Clearing Results'!L29)*'1stIA Resource Clearing Results'!E5-('2ndIA Resource Clearing Results'!K29+'2ndIA Resource Clearing Results'!L29)*'2ndIA Resource Clearing Results'!E5</f>
        <v>-456677.489</v>
      </c>
      <c r="F13" s="576">
        <f>E13/B13</f>
        <v>-2.7689506269402413</v>
      </c>
      <c r="G13" s="577">
        <f>'BRA Resource Clearing Results'!D29*'BRA Resource Clearing Results'!G5-'1stIA Resource Clearing Results'!L29*'1stIA Resource Clearing Results'!G5-'2ndIA Resource Clearing Results'!L29*'2ndIA Resource Clearing Results'!G5</f>
        <v>0</v>
      </c>
      <c r="H13" s="576">
        <f>G13/B13</f>
        <v>0</v>
      </c>
      <c r="I13" s="578">
        <f>'BRA Resource Clearing Results'!J73+'1stIA Resource Clearing Results'!I81+'2ndIA Resource Clearing Results'!I81</f>
        <v>0</v>
      </c>
      <c r="J13" s="579">
        <f>I13/B13</f>
        <v>0</v>
      </c>
      <c r="K13" s="580">
        <f aca="true" t="shared" si="0" ref="K13:K20">C13+D13+F13+H13+J13</f>
        <v>98.00898673360496</v>
      </c>
      <c r="L13" s="419"/>
    </row>
    <row r="14" spans="1:12" ht="12.75">
      <c r="A14" s="226" t="s">
        <v>29</v>
      </c>
      <c r="B14" s="540">
        <f>J40+J44+J50+(SUM(J52:J59))</f>
        <v>65177.94466713771</v>
      </c>
      <c r="C14" s="576">
        <f aca="true" t="shared" si="1" ref="C14:C20">$C$13</f>
        <v>100.7779373605452</v>
      </c>
      <c r="D14" s="576">
        <f>D13+('BRA Resource Clearing Results'!E30*'BRA Resource Clearing Results'!C6-'1stIA Resource Clearing Results'!M30*'1stIA Resource Clearing Results'!C6-'2ndIA Resource Clearing Results'!M30*'2ndIA Resource Clearing Results'!C6)/('BRA Resource Clearing Results'!E30-'1stIA Resource Clearing Results'!M30-'2ndIA Resource Clearing Results'!M30)</f>
        <v>0</v>
      </c>
      <c r="E14" s="577">
        <f>('BRA Resource Clearing Results'!C30+'BRA Resource Clearing Results'!D30)*('BRA Resource Clearing Results'!E6-'BRA Resource Clearing Results'!E5)-('1stIA Resource Clearing Results'!K30+'1stIA Resource Clearing Results'!L30)*('1stIA Resource Clearing Results'!E6-'1stIA Resource Clearing Results'!E5)-('2ndIA Resource Clearing Results'!K30+'2ndIA Resource Clearing Results'!L30)*('2ndIA Resource Clearing Results'!E6-'2ndIA Resource Clearing Results'!E5)</f>
        <v>0</v>
      </c>
      <c r="F14" s="576">
        <f>F13+(E14/B14)</f>
        <v>-2.7689506269402413</v>
      </c>
      <c r="G14" s="577">
        <f>'BRA Resource Clearing Results'!D30*('BRA Resource Clearing Results'!G6-'BRA Resource Clearing Results'!G5)-'1stIA Resource Clearing Results'!L30*('1stIA Resource Clearing Results'!G6-'1stIA Resource Clearing Results'!G5)-'2ndIA Resource Clearing Results'!L30*('2ndIA Resource Clearing Results'!G6-'2ndIA Resource Clearing Results'!G5)</f>
        <v>0</v>
      </c>
      <c r="H14" s="576">
        <f>H13+(G14/B14)</f>
        <v>0</v>
      </c>
      <c r="I14" s="578">
        <f>'BRA Resource Clearing Results'!J74+'1stIA Resource Clearing Results'!I82+'2ndIA Resource Clearing Results'!I82</f>
        <v>0</v>
      </c>
      <c r="J14" s="579">
        <f>J13+I14/B14</f>
        <v>0</v>
      </c>
      <c r="K14" s="580">
        <f t="shared" si="0"/>
        <v>98.00898673360496</v>
      </c>
      <c r="L14" s="419"/>
    </row>
    <row r="15" spans="1:12" ht="12.75">
      <c r="A15" s="226" t="s">
        <v>35</v>
      </c>
      <c r="B15" s="540">
        <f>J40+J50+J52+J54+J58+J59</f>
        <v>35359.41397128728</v>
      </c>
      <c r="C15" s="576">
        <f t="shared" si="1"/>
        <v>100.7779373605452</v>
      </c>
      <c r="D15" s="576">
        <f>D14+('BRA Resource Clearing Results'!E31*'BRA Resource Clearing Results'!C7-'1stIA Resource Clearing Results'!M31*'1stIA Resource Clearing Results'!C7-'2ndIA Resource Clearing Results'!M31*'2ndIA Resource Clearing Results'!C7)/('BRA Resource Clearing Results'!E31-'1stIA Resource Clearing Results'!M31-'2ndIA Resource Clearing Results'!M31)</f>
        <v>19.738706495349305</v>
      </c>
      <c r="E15" s="577">
        <f>('BRA Resource Clearing Results'!C31+'BRA Resource Clearing Results'!D31)*('BRA Resource Clearing Results'!E7-'BRA Resource Clearing Results'!E6)-('1stIA Resource Clearing Results'!K31+'1stIA Resource Clearing Results'!L31)*('1stIA Resource Clearing Results'!E7-'1stIA Resource Clearing Results'!E6)-('2ndIA Resource Clearing Results'!K31+'2ndIA Resource Clearing Results'!L31)*('2ndIA Resource Clearing Results'!E7-'2ndIA Resource Clearing Results'!E6)</f>
        <v>0</v>
      </c>
      <c r="F15" s="576">
        <f>F14+(E15/B15)</f>
        <v>-2.7689506269402413</v>
      </c>
      <c r="G15" s="577">
        <f>'BRA Resource Clearing Results'!D31*('BRA Resource Clearing Results'!G7-'BRA Resource Clearing Results'!G6)-'1stIA Resource Clearing Results'!L31*('1stIA Resource Clearing Results'!G7-'1stIA Resource Clearing Results'!G6)-'2ndIA Resource Clearing Results'!L31*('2ndIA Resource Clearing Results'!G7-'2ndIA Resource Clearing Results'!G6)</f>
        <v>0</v>
      </c>
      <c r="H15" s="576">
        <f>H14+(G15/B15)</f>
        <v>0</v>
      </c>
      <c r="I15" s="578">
        <f>'BRA Resource Clearing Results'!J75+'1stIA Resource Clearing Results'!I83+'2ndIA Resource Clearing Results'!I83</f>
        <v>0</v>
      </c>
      <c r="J15" s="579">
        <f>J14+I15/B15</f>
        <v>0</v>
      </c>
      <c r="K15" s="580">
        <f t="shared" si="0"/>
        <v>117.74769322895426</v>
      </c>
      <c r="L15" s="419"/>
    </row>
    <row r="16" spans="1:12" ht="12.75">
      <c r="A16" s="226" t="s">
        <v>5</v>
      </c>
      <c r="B16" s="540">
        <f>J44+J56</f>
        <v>14890.462774774209</v>
      </c>
      <c r="C16" s="576">
        <f t="shared" si="1"/>
        <v>100.7779373605452</v>
      </c>
      <c r="D16" s="576">
        <f>D14+('BRA Resource Clearing Results'!E32*'BRA Resource Clearing Results'!C8-'1stIA Resource Clearing Results'!M32*'1stIA Resource Clearing Results'!C8-'2ndIA Resource Clearing Results'!M32*'2ndIA Resource Clearing Results'!C8)/('BRA Resource Clearing Results'!E32-'1stIA Resource Clearing Results'!M32-'2ndIA Resource Clearing Results'!M32)</f>
        <v>0</v>
      </c>
      <c r="E16" s="577">
        <f>('BRA Resource Clearing Results'!C32+'BRA Resource Clearing Results'!D32)*('BRA Resource Clearing Results'!E8-'BRA Resource Clearing Results'!E6)-('1stIA Resource Clearing Results'!K32+'1stIA Resource Clearing Results'!L32)*('1stIA Resource Clearing Results'!E8-'1stIA Resource Clearing Results'!E6)-('2ndIA Resource Clearing Results'!K32+'2ndIA Resource Clearing Results'!L32)*('2ndIA Resource Clearing Results'!E8-'2ndIA Resource Clearing Results'!E6)</f>
        <v>0</v>
      </c>
      <c r="F16" s="576">
        <f>F14+(E16/B16)</f>
        <v>-2.7689506269402413</v>
      </c>
      <c r="G16" s="577">
        <f>'BRA Resource Clearing Results'!D32*('BRA Resource Clearing Results'!G8-'BRA Resource Clearing Results'!G6)-'1stIA Resource Clearing Results'!L32*('1stIA Resource Clearing Results'!G8-'1stIA Resource Clearing Results'!G6)-'2ndIA Resource Clearing Results'!L32*('2ndIA Resource Clearing Results'!G8-'2ndIA Resource Clearing Results'!G6)</f>
        <v>0</v>
      </c>
      <c r="H16" s="576">
        <f>H14+(G16/B16)</f>
        <v>0</v>
      </c>
      <c r="I16" s="578">
        <f>'BRA Resource Clearing Results'!J76+'1stIA Resource Clearing Results'!I84+'2ndIA Resource Clearing Results'!I84</f>
        <v>0</v>
      </c>
      <c r="J16" s="579">
        <f>J14+I16/B16</f>
        <v>0</v>
      </c>
      <c r="K16" s="580">
        <f t="shared" si="0"/>
        <v>98.00898673360496</v>
      </c>
      <c r="L16" s="419"/>
    </row>
    <row r="17" spans="1:12" ht="12.75">
      <c r="A17" s="226" t="s">
        <v>15</v>
      </c>
      <c r="B17" s="540">
        <f>J56</f>
        <v>7281.296452726779</v>
      </c>
      <c r="C17" s="576">
        <f t="shared" si="1"/>
        <v>100.7779373605452</v>
      </c>
      <c r="D17" s="576">
        <f>D16+('BRA Resource Clearing Results'!E36*'BRA Resource Clearing Results'!C12-'1stIA Resource Clearing Results'!M36*'1stIA Resource Clearing Results'!C12-'2ndIA Resource Clearing Results'!M36*'2ndIA Resource Clearing Results'!C12)/('BRA Resource Clearing Results'!E36-'1stIA Resource Clearing Results'!M36-'2ndIA Resource Clearing Results'!M36)</f>
        <v>0</v>
      </c>
      <c r="E17" s="577">
        <f>('BRA Resource Clearing Results'!C36+'BRA Resource Clearing Results'!D36)*('BRA Resource Clearing Results'!E12-'BRA Resource Clearing Results'!E8)-('1stIA Resource Clearing Results'!K36+'1stIA Resource Clearing Results'!L36)*('1stIA Resource Clearing Results'!E12-'1stIA Resource Clearing Results'!E8)-('2ndIA Resource Clearing Results'!K36+'2ndIA Resource Clearing Results'!L36)*('2ndIA Resource Clearing Results'!E12-'2ndIA Resource Clearing Results'!E8)</f>
        <v>0</v>
      </c>
      <c r="F17" s="576">
        <f>F16+(E17/B17)</f>
        <v>-2.7689506269402413</v>
      </c>
      <c r="G17" s="577">
        <f>'BRA Resource Clearing Results'!D36*('BRA Resource Clearing Results'!G12-'BRA Resource Clearing Results'!G8)-'1stIA Resource Clearing Results'!L36*('1stIA Resource Clearing Results'!G12-'1stIA Resource Clearing Results'!G8)-'2ndIA Resource Clearing Results'!L36*('2ndIA Resource Clearing Results'!G12-'2ndIA Resource Clearing Results'!G8)</f>
        <v>-37955.255</v>
      </c>
      <c r="H17" s="576">
        <f>H16+(G17/B17)</f>
        <v>-5.212705628238238</v>
      </c>
      <c r="I17" s="578">
        <f>'BRA Resource Clearing Results'!J80+'1stIA Resource Clearing Results'!I88+'2ndIA Resource Clearing Results'!I88</f>
        <v>0</v>
      </c>
      <c r="J17" s="579">
        <f>J16+I17/B17</f>
        <v>0</v>
      </c>
      <c r="K17" s="580">
        <f t="shared" si="0"/>
        <v>92.79628110536672</v>
      </c>
      <c r="L17" s="419"/>
    </row>
    <row r="18" spans="1:12" ht="12.75">
      <c r="A18" s="226" t="s">
        <v>20</v>
      </c>
      <c r="B18" s="540">
        <f>J45</f>
        <v>25196.623183168955</v>
      </c>
      <c r="C18" s="576">
        <f t="shared" si="1"/>
        <v>100.7779373605452</v>
      </c>
      <c r="D18" s="576">
        <f>D13+('BRA Resource Clearing Results'!E39*'BRA Resource Clearing Results'!C15-'1stIA Resource Clearing Results'!M39*'1stIA Resource Clearing Results'!C15-'2ndIA Resource Clearing Results'!M39*'2ndIA Resource Clearing Results'!C15)/('BRA Resource Clearing Results'!E39-'1stIA Resource Clearing Results'!M39-'2ndIA Resource Clearing Results'!M39)</f>
        <v>100.8712592826806</v>
      </c>
      <c r="E18" s="577">
        <f>('BRA Resource Clearing Results'!C39+'BRA Resource Clearing Results'!D39)*('BRA Resource Clearing Results'!E15-'BRA Resource Clearing Results'!E5)-('1stIA Resource Clearing Results'!K39+'1stIA Resource Clearing Results'!L39)*('1stIA Resource Clearing Results'!E15-'1stIA Resource Clearing Results'!E5)-('2ndIA Resource Clearing Results'!K39+'2ndIA Resource Clearing Results'!L39)*('2ndIA Resource Clearing Results'!E15-'2ndIA Resource Clearing Results'!E5)</f>
        <v>0</v>
      </c>
      <c r="F18" s="576">
        <f>F13+(E18/B18)</f>
        <v>-2.7689506269402413</v>
      </c>
      <c r="G18" s="577">
        <f>'BRA Resource Clearing Results'!D39*('BRA Resource Clearing Results'!G15-'BRA Resource Clearing Results'!G5)-'1stIA Resource Clearing Results'!L39*('1stIA Resource Clearing Results'!G15-'1stIA Resource Clearing Results'!G5)-'2ndIA Resource Clearing Results'!L39*('2ndIA Resource Clearing Results'!G15-'2ndIA Resource Clearing Results'!G5)</f>
        <v>0</v>
      </c>
      <c r="H18" s="576">
        <f>H13+(G18/B18)</f>
        <v>0</v>
      </c>
      <c r="I18" s="578">
        <f>'BRA Resource Clearing Results'!J83+'1stIA Resource Clearing Results'!I91+'2ndIA Resource Clearing Results'!I91</f>
        <v>0</v>
      </c>
      <c r="J18" s="579">
        <f>J13+I18/B18</f>
        <v>0</v>
      </c>
      <c r="K18" s="580">
        <f t="shared" si="0"/>
        <v>198.88024601628555</v>
      </c>
      <c r="L18" s="419"/>
    </row>
    <row r="19" spans="1:12" ht="12.75">
      <c r="A19" s="226" t="s">
        <v>11</v>
      </c>
      <c r="B19" s="540">
        <f>J44</f>
        <v>7609.16632204743</v>
      </c>
      <c r="C19" s="576">
        <f t="shared" si="1"/>
        <v>100.7779373605452</v>
      </c>
      <c r="D19" s="576">
        <f>D16+('BRA Resource Clearing Results'!E40*'BRA Resource Clearing Results'!C16-'1stIA Resource Clearing Results'!M40*'1stIA Resource Clearing Results'!C16-'2ndIA Resource Clearing Results'!M40*'2ndIA Resource Clearing Results'!C16)/('BRA Resource Clearing Results'!E40-'1stIA Resource Clearing Results'!M40-'2ndIA Resource Clearing Results'!M40)</f>
        <v>-0.8906736066104991</v>
      </c>
      <c r="E19" s="577">
        <f>('BRA Resource Clearing Results'!C40+'BRA Resource Clearing Results'!D40)*('BRA Resource Clearing Results'!E16-'BRA Resource Clearing Results'!E8)-('1stIA Resource Clearing Results'!K40+'1stIA Resource Clearing Results'!L40)*('1stIA Resource Clearing Results'!E16-'1stIA Resource Clearing Results'!E8)-('2ndIA Resource Clearing Results'!K40+'2ndIA Resource Clearing Results'!L40)*('2ndIA Resource Clearing Results'!E16-'2ndIA Resource Clearing Results'!E8)</f>
        <v>0</v>
      </c>
      <c r="F19" s="576">
        <f>F16+(E19/B19)</f>
        <v>-2.7689506269402413</v>
      </c>
      <c r="G19" s="577">
        <f>'BRA Resource Clearing Results'!D40*('BRA Resource Clearing Results'!G16-'BRA Resource Clearing Results'!G8)-'1stIA Resource Clearing Results'!L40*('1stIA Resource Clearing Results'!G16-'1stIA Resource Clearing Results'!G8)-'2ndIA Resource Clearing Results'!L40*('2ndIA Resource Clearing Results'!G16-'2ndIA Resource Clearing Results'!G8)</f>
        <v>0</v>
      </c>
      <c r="H19" s="576">
        <f>H16+(G19/B19)</f>
        <v>0</v>
      </c>
      <c r="I19" s="578">
        <f>'BRA Resource Clearing Results'!J84+'1stIA Resource Clearing Results'!I92+'2ndIA Resource Clearing Results'!I92</f>
        <v>0</v>
      </c>
      <c r="J19" s="579">
        <f>J16+I19/B19</f>
        <v>0</v>
      </c>
      <c r="K19" s="580">
        <f t="shared" si="0"/>
        <v>97.11831312699445</v>
      </c>
      <c r="L19" s="419"/>
    </row>
    <row r="20" spans="1:12" ht="12.75">
      <c r="A20" s="226" t="s">
        <v>10</v>
      </c>
      <c r="B20" s="540">
        <f>J57</f>
        <v>8291.934759593307</v>
      </c>
      <c r="C20" s="576">
        <f t="shared" si="1"/>
        <v>100.7779373605452</v>
      </c>
      <c r="D20" s="576">
        <f>D14+('BRA Resource Clearing Results'!E41*'BRA Resource Clearing Results'!C17-'1stIA Resource Clearing Results'!M41*'1stIA Resource Clearing Results'!C17-'2ndIA Resource Clearing Results'!M41*'2ndIA Resource Clearing Results'!C17)/('BRA Resource Clearing Results'!E41-'1stIA Resource Clearing Results'!M41-'2ndIA Resource Clearing Results'!M41)</f>
        <v>0</v>
      </c>
      <c r="E20" s="577">
        <f>('BRA Resource Clearing Results'!C41+'BRA Resource Clearing Results'!D41)*('BRA Resource Clearing Results'!E17-'BRA Resource Clearing Results'!E6)-('1stIA Resource Clearing Results'!K41+'1stIA Resource Clearing Results'!L41)*('1stIA Resource Clearing Results'!E17-'1stIA Resource Clearing Results'!E6)-('2ndIA Resource Clearing Results'!K41+'2ndIA Resource Clearing Results'!L41)*('2ndIA Resource Clearing Results'!E17-'2ndIA Resource Clearing Results'!E6)</f>
        <v>0</v>
      </c>
      <c r="F20" s="576">
        <f>F14+(E20/B20)</f>
        <v>-2.7689506269402413</v>
      </c>
      <c r="G20" s="577">
        <f>'BRA Resource Clearing Results'!D41*('BRA Resource Clearing Results'!G17-'BRA Resource Clearing Results'!G6)-'1stIA Resource Clearing Results'!L41*('1stIA Resource Clearing Results'!G17-'1stIA Resource Clearing Results'!G6)-'2ndIA Resource Clearing Results'!L41*('2ndIA Resource Clearing Results'!G17-'2ndIA Resource Clearing Results'!G6)</f>
        <v>0</v>
      </c>
      <c r="H20" s="576">
        <f>H13+(G20/B20)</f>
        <v>0</v>
      </c>
      <c r="I20" s="578">
        <f>'BRA Resource Clearing Results'!J85+'1stIA Resource Clearing Results'!I93+'2ndIA Resource Clearing Results'!I93</f>
        <v>0</v>
      </c>
      <c r="J20" s="579">
        <f>J14+I20/B20</f>
        <v>0</v>
      </c>
      <c r="K20" s="580">
        <f t="shared" si="0"/>
        <v>98.00898673360496</v>
      </c>
      <c r="L20" s="419"/>
    </row>
    <row r="21" spans="1:12" ht="12.75">
      <c r="A21" s="25" t="s">
        <v>90</v>
      </c>
      <c r="B21" s="36"/>
      <c r="C21" s="59"/>
      <c r="D21" s="420" t="s">
        <v>24</v>
      </c>
      <c r="E21" s="421" t="s">
        <v>24</v>
      </c>
      <c r="F21" s="61"/>
      <c r="G21" s="56" t="s">
        <v>24</v>
      </c>
      <c r="H21" s="35"/>
      <c r="I21" s="35"/>
      <c r="J21" s="422"/>
      <c r="K21" s="35"/>
      <c r="L21" s="402"/>
    </row>
    <row r="22" spans="1:12" ht="12.75">
      <c r="A22" s="423" t="s">
        <v>24</v>
      </c>
      <c r="B22" s="364"/>
      <c r="C22" s="391"/>
      <c r="D22" s="391"/>
      <c r="E22" s="391"/>
      <c r="F22" s="392"/>
      <c r="H22" s="364"/>
      <c r="I22" s="364"/>
      <c r="J22" s="391"/>
      <c r="K22" s="364"/>
      <c r="L22" s="402"/>
    </row>
    <row r="23" spans="1:12" ht="12.75">
      <c r="A23" s="423"/>
      <c r="B23" s="364"/>
      <c r="C23" s="391"/>
      <c r="D23" s="391"/>
      <c r="E23" s="391"/>
      <c r="F23" s="392"/>
      <c r="H23" s="364"/>
      <c r="I23" s="364"/>
      <c r="J23" s="391"/>
      <c r="K23" s="364"/>
      <c r="L23" s="402"/>
    </row>
    <row r="24" spans="1:12" ht="31.5">
      <c r="A24" s="424" t="s">
        <v>133</v>
      </c>
      <c r="B24" s="4"/>
      <c r="C24" s="4" t="s">
        <v>24</v>
      </c>
      <c r="D24" s="425" t="s">
        <v>24</v>
      </c>
      <c r="E24" s="426" t="s">
        <v>24</v>
      </c>
      <c r="F24" s="4"/>
      <c r="G24" s="4"/>
      <c r="H24" s="4"/>
      <c r="I24" s="4"/>
      <c r="J24" s="14" t="s">
        <v>24</v>
      </c>
      <c r="K24" s="427" t="s">
        <v>24</v>
      </c>
      <c r="L24" s="4"/>
    </row>
    <row r="25" spans="1:12" ht="102">
      <c r="A25" s="231" t="s">
        <v>60</v>
      </c>
      <c r="B25" s="539" t="s">
        <v>288</v>
      </c>
      <c r="C25" s="539" t="s">
        <v>345</v>
      </c>
      <c r="D25" s="203" t="s">
        <v>290</v>
      </c>
      <c r="E25" s="539" t="s">
        <v>189</v>
      </c>
      <c r="F25" s="539" t="s">
        <v>190</v>
      </c>
      <c r="G25" s="539" t="s">
        <v>218</v>
      </c>
      <c r="H25" s="539" t="s">
        <v>219</v>
      </c>
      <c r="I25" s="203" t="s">
        <v>191</v>
      </c>
      <c r="J25" s="203" t="s">
        <v>168</v>
      </c>
      <c r="K25" s="203" t="s">
        <v>291</v>
      </c>
      <c r="L25" s="4"/>
    </row>
    <row r="26" spans="1:12" ht="12.75">
      <c r="A26" s="226" t="s">
        <v>39</v>
      </c>
      <c r="B26" s="226"/>
      <c r="C26" s="540">
        <f>'BRA Resource Clearing Results'!E55-'1stIA Resource Clearing Results'!M67-'2ndIA Resource Clearing Results'!M67</f>
        <v>2232.6</v>
      </c>
      <c r="D26" s="577">
        <f>('BRA Resource Clearing Results'!E33*'BRA Resource Clearing Results'!C9-'1stIA Resource Clearing Results'!M33*'1stIA Resource Clearing Results'!C9-'2ndIA Resource Clearing Results'!M33*'2ndIA Resource Clearing Results'!C9)/('BRA Resource Clearing Results'!E33-'1stIA Resource Clearing Results'!M33-'2ndIA Resource Clearing Results'!M33)</f>
        <v>0</v>
      </c>
      <c r="E26" s="577">
        <f>('BRA Resource Clearing Results'!C55+'BRA Resource Clearing Results'!D55)*('BRA Resource Clearing Results'!E9-'BRA Resource Clearing Results'!E7)-('1stIA Resource Clearing Results'!K67+'1stIA Resource Clearing Results'!L67)*('1stIA Resource Clearing Results'!E9-'1stIA Resource Clearing Results'!E7)-('2ndIA Resource Clearing Results'!K67+'2ndIA Resource Clearing Results'!L67)*('2ndIA Resource Clearing Results'!E9-'2ndIA Resource Clearing Results'!E7)</f>
        <v>0</v>
      </c>
      <c r="F26" s="582"/>
      <c r="G26" s="583">
        <f>'BRA Resource Clearing Results'!D55*('BRA Resource Clearing Results'!G9-'BRA Resource Clearing Results'!G7)-'1stIA Resource Clearing Results'!L67*('1stIA Resource Clearing Results'!G9-'1stIA Resource Clearing Results'!G7)-'2ndIA Resource Clearing Results'!L67*('2ndIA Resource Clearing Results'!G9-'2ndIA Resource Clearing Results'!G7)</f>
        <v>0</v>
      </c>
      <c r="H26" s="582"/>
      <c r="I26" s="578">
        <f>'BRA Resource Clearing Results'!J77+'1stIA Resource Clearing Results'!I85+'2ndIA Resource Clearing Results'!I85</f>
        <v>0</v>
      </c>
      <c r="J26" s="584"/>
      <c r="K26" s="584"/>
      <c r="L26" s="4"/>
    </row>
    <row r="27" spans="1:12" ht="12.75">
      <c r="A27" s="226" t="s">
        <v>36</v>
      </c>
      <c r="B27" s="226"/>
      <c r="C27" s="540">
        <f>'BRA Resource Clearing Results'!E56-'1stIA Resource Clearing Results'!M68-'2ndIA Resource Clearing Results'!M68</f>
        <v>3247.4</v>
      </c>
      <c r="D27" s="577">
        <f>D26+('BRA Resource Clearing Results'!E34*'BRA Resource Clearing Results'!C10-'1stIA Resource Clearing Results'!M34*'1stIA Resource Clearing Results'!C10-'2ndIA Resource Clearing Results'!M34*'2ndIA Resource Clearing Results'!C10)/('BRA Resource Clearing Results'!E34-'1stIA Resource Clearing Results'!M34-'2ndIA Resource Clearing Results'!M34)</f>
        <v>0</v>
      </c>
      <c r="E27" s="577">
        <f>('BRA Resource Clearing Results'!C56+'BRA Resource Clearing Results'!D56)*('BRA Resource Clearing Results'!E10-'BRA Resource Clearing Results'!E7)-('1stIA Resource Clearing Results'!K68+'1stIA Resource Clearing Results'!L68)*('1stIA Resource Clearing Results'!E10-'1stIA Resource Clearing Results'!E7)-('2ndIA Resource Clearing Results'!K68+'2ndIA Resource Clearing Results'!L68)*('2ndIA Resource Clearing Results'!E10-'2ndIA Resource Clearing Results'!E7)</f>
        <v>0</v>
      </c>
      <c r="F27" s="582"/>
      <c r="G27" s="583">
        <f>'BRA Resource Clearing Results'!D56*('BRA Resource Clearing Results'!G10-'BRA Resource Clearing Results'!G7)-'1stIA Resource Clearing Results'!L68*('1stIA Resource Clearing Results'!G10-'1stIA Resource Clearing Results'!G7)-'2ndIA Resource Clearing Results'!L68*('2ndIA Resource Clearing Results'!G10-'2ndIA Resource Clearing Results'!G7)</f>
        <v>0</v>
      </c>
      <c r="H27" s="582"/>
      <c r="I27" s="578">
        <f>'BRA Resource Clearing Results'!J78+'1stIA Resource Clearing Results'!I86+'2ndIA Resource Clearing Results'!I86</f>
        <v>2826.572</v>
      </c>
      <c r="J27" s="584"/>
      <c r="K27" s="584"/>
      <c r="L27" s="4"/>
    </row>
    <row r="28" spans="1:12" ht="12.75">
      <c r="A28" s="74" t="s">
        <v>8</v>
      </c>
      <c r="B28" s="183">
        <f>K15</f>
        <v>117.74769322895426</v>
      </c>
      <c r="C28" s="581">
        <f>C27+C26</f>
        <v>5480</v>
      </c>
      <c r="D28" s="585">
        <f>(C27*D27+C26*D26)/C28</f>
        <v>0</v>
      </c>
      <c r="E28" s="586">
        <f>E26+E27</f>
        <v>0</v>
      </c>
      <c r="F28" s="585">
        <f>E28/J58</f>
        <v>0</v>
      </c>
      <c r="G28" s="587">
        <f>G26+G27</f>
        <v>0</v>
      </c>
      <c r="H28" s="585">
        <f>G28/J58</f>
        <v>0</v>
      </c>
      <c r="I28" s="588">
        <f>I26+I27</f>
        <v>2826.572</v>
      </c>
      <c r="J28" s="589">
        <f>I28/J58</f>
        <v>0.2530524969644344</v>
      </c>
      <c r="K28" s="590">
        <f>B28+D28+F28+H28+J28</f>
        <v>118.00074572591869</v>
      </c>
      <c r="L28" s="433"/>
    </row>
    <row r="29" spans="1:12" ht="12.75">
      <c r="A29" s="226" t="s">
        <v>38</v>
      </c>
      <c r="B29" s="226"/>
      <c r="C29" s="581">
        <v>3401.7</v>
      </c>
      <c r="D29" s="582">
        <v>0</v>
      </c>
      <c r="E29" s="582">
        <v>0</v>
      </c>
      <c r="F29" s="582"/>
      <c r="G29" s="591">
        <v>0</v>
      </c>
      <c r="H29" s="582"/>
      <c r="I29" s="578">
        <v>0</v>
      </c>
      <c r="J29" s="584"/>
      <c r="K29" s="582"/>
      <c r="L29" s="4"/>
    </row>
    <row r="30" spans="1:12" ht="12.75">
      <c r="A30" s="226" t="s">
        <v>37</v>
      </c>
      <c r="B30" s="226"/>
      <c r="C30" s="540">
        <f>'BRA Resource Clearing Results'!E57-'1stIA Resource Clearing Results'!M69-'2ndIA Resource Clearing Results'!M69</f>
        <v>1604.6</v>
      </c>
      <c r="D30" s="577">
        <f>('BRA Resource Clearing Results'!E35*'BRA Resource Clearing Results'!C11-'1stIA Resource Clearing Results'!M35*'1stIA Resource Clearing Results'!C11-'2ndIA Resource Clearing Results'!M35*'2ndIA Resource Clearing Results'!C11)/('BRA Resource Clearing Results'!E35-'1stIA Resource Clearing Results'!M35-'2ndIA Resource Clearing Results'!M35)</f>
        <v>0</v>
      </c>
      <c r="E30" s="577">
        <f>('BRA Resource Clearing Results'!C57+'BRA Resource Clearing Results'!D57)*('BRA Resource Clearing Results'!E11-'BRA Resource Clearing Results'!E7)-('1stIA Resource Clearing Results'!K69+'1stIA Resource Clearing Results'!L69)*('1stIA Resource Clearing Results'!E11-'1stIA Resource Clearing Results'!E7)-('2ndIA Resource Clearing Results'!K69+'2ndIA Resource Clearing Results'!L69)*('2ndIA Resource Clearing Results'!E11-'2ndIA Resource Clearing Results'!E7)</f>
        <v>0</v>
      </c>
      <c r="F30" s="592"/>
      <c r="G30" s="583">
        <f>'BRA Resource Clearing Results'!D57*('BRA Resource Clearing Results'!G11-'BRA Resource Clearing Results'!G7)-'1stIA Resource Clearing Results'!L69*('1stIA Resource Clearing Results'!G11-'1stIA Resource Clearing Results'!G7)-'2ndIA Resource Clearing Results'!L69*('2ndIA Resource Clearing Results'!G11-'2ndIA Resource Clearing Results'!G7)</f>
        <v>0</v>
      </c>
      <c r="H30" s="592"/>
      <c r="I30" s="578">
        <f>'BRA Resource Clearing Results'!J79+'1stIA Resource Clearing Results'!I87+'2ndIA Resource Clearing Results'!I87</f>
        <v>0</v>
      </c>
      <c r="J30" s="584"/>
      <c r="K30" s="582"/>
      <c r="L30" s="4"/>
    </row>
    <row r="31" spans="1:12" ht="12.75">
      <c r="A31" s="74" t="s">
        <v>17</v>
      </c>
      <c r="B31" s="183">
        <f>K15</f>
        <v>117.74769322895426</v>
      </c>
      <c r="C31" s="581">
        <f>C29+C30</f>
        <v>5006.299999999999</v>
      </c>
      <c r="D31" s="585">
        <f>(C30*D30+C29*D29)/C31</f>
        <v>0</v>
      </c>
      <c r="E31" s="586">
        <f>E29+E30</f>
        <v>0</v>
      </c>
      <c r="F31" s="585">
        <f>E31/J50</f>
        <v>0</v>
      </c>
      <c r="G31" s="587">
        <f>G29+G30</f>
        <v>0</v>
      </c>
      <c r="H31" s="585">
        <f>G31/J50</f>
        <v>0</v>
      </c>
      <c r="I31" s="588">
        <f>I29+I30</f>
        <v>0</v>
      </c>
      <c r="J31" s="589">
        <f>I31/J50</f>
        <v>0</v>
      </c>
      <c r="K31" s="590">
        <f>B31+D31+F31+H31+J31</f>
        <v>117.74769322895426</v>
      </c>
      <c r="L31" s="433"/>
    </row>
    <row r="32" spans="1:12" ht="12.75">
      <c r="A32" s="226" t="s">
        <v>128</v>
      </c>
      <c r="B32" s="226"/>
      <c r="C32" s="540">
        <f>'BRA Resource Clearing Results'!E59-'1stIA Resource Clearing Results'!M71-'2ndIA Resource Clearing Results'!M71</f>
        <v>8358.500000000002</v>
      </c>
      <c r="D32" s="577">
        <f>('BRA Resource Clearing Results'!E37*'BRA Resource Clearing Results'!C13-'1stIA Resource Clearing Results'!M37*'1stIA Resource Clearing Results'!C13-'2ndIA Resource Clearing Results'!M37*'2ndIA Resource Clearing Results'!C13)/('BRA Resource Clearing Results'!E37-'1stIA Resource Clearing Results'!M37-'2ndIA Resource Clearing Results'!M37)</f>
        <v>0</v>
      </c>
      <c r="E32" s="577">
        <f>('BRA Resource Clearing Results'!C59+'BRA Resource Clearing Results'!D59)*('BRA Resource Clearing Results'!E13-'BRA Resource Clearing Results'!E5)-('1stIA Resource Clearing Results'!K71+'1stIA Resource Clearing Results'!L71)*('1stIA Resource Clearing Results'!E13-'1stIA Resource Clearing Results'!E5)-('2ndIA Resource Clearing Results'!K71+'2ndIA Resource Clearing Results'!L71)*('2ndIA Resource Clearing Results'!E13-'2ndIA Resource Clearing Results'!E5)</f>
        <v>0</v>
      </c>
      <c r="F32" s="582"/>
      <c r="G32" s="583">
        <f>'BRA Resource Clearing Results'!D59*('BRA Resource Clearing Results'!G13-'BRA Resource Clearing Results'!G5)-'1stIA Resource Clearing Results'!L71*('1stIA Resource Clearing Results'!G13-'1stIA Resource Clearing Results'!G5)-'2ndIA Resource Clearing Results'!L71*('2ndIA Resource Clearing Results'!G13-'2ndIA Resource Clearing Results'!G5)</f>
        <v>0</v>
      </c>
      <c r="H32" s="582"/>
      <c r="I32" s="578">
        <f>'BRA Resource Clearing Results'!J81+'1stIA Resource Clearing Results'!I89+'2ndIA Resource Clearing Results'!I89</f>
        <v>0</v>
      </c>
      <c r="J32" s="584"/>
      <c r="K32" s="582"/>
      <c r="L32" s="433"/>
    </row>
    <row r="33" spans="1:12" ht="12.75">
      <c r="A33" s="226" t="s">
        <v>127</v>
      </c>
      <c r="B33" s="226"/>
      <c r="C33" s="540">
        <f>'BRA Resource Clearing Results'!E60-'1stIA Resource Clearing Results'!M72-'2ndIA Resource Clearing Results'!M72</f>
        <v>2133</v>
      </c>
      <c r="D33" s="577">
        <f>('BRA Resource Clearing Results'!E38*'BRA Resource Clearing Results'!C14-'1stIA Resource Clearing Results'!M38*'1stIA Resource Clearing Results'!C14-'2ndIA Resource Clearing Results'!M38*'2ndIA Resource Clearing Results'!C14)/('BRA Resource Clearing Results'!E38-'1stIA Resource Clearing Results'!M38-'2ndIA Resource Clearing Results'!M38)</f>
        <v>0</v>
      </c>
      <c r="E33" s="577">
        <f>('BRA Resource Clearing Results'!C60+'BRA Resource Clearing Results'!D60)*('BRA Resource Clearing Results'!E14-'BRA Resource Clearing Results'!E5)-('1stIA Resource Clearing Results'!K72+'1stIA Resource Clearing Results'!L72)*('1stIA Resource Clearing Results'!E14-'1stIA Resource Clearing Results'!E5)-('2ndIA Resource Clearing Results'!K72+'2ndIA Resource Clearing Results'!L72)*('2ndIA Resource Clearing Results'!E14-'2ndIA Resource Clearing Results'!E5)</f>
        <v>0</v>
      </c>
      <c r="F33" s="592"/>
      <c r="G33" s="583">
        <f>'BRA Resource Clearing Results'!D60*('BRA Resource Clearing Results'!G14-'BRA Resource Clearing Results'!G5)-'1stIA Resource Clearing Results'!L72*('1stIA Resource Clearing Results'!G14-'1stIA Resource Clearing Results'!G5)-'2ndIA Resource Clearing Results'!L72*('2ndIA Resource Clearing Results'!G14-'2ndIA Resource Clearing Results'!G5)</f>
        <v>0</v>
      </c>
      <c r="H33" s="592"/>
      <c r="I33" s="578">
        <f>'BRA Resource Clearing Results'!J82+'1stIA Resource Clearing Results'!I90+'2ndIA Resource Clearing Results'!I90</f>
        <v>0</v>
      </c>
      <c r="J33" s="584"/>
      <c r="K33" s="582"/>
      <c r="L33" s="433"/>
    </row>
    <row r="34" spans="1:12" ht="12.75">
      <c r="A34" s="74" t="s">
        <v>45</v>
      </c>
      <c r="B34" s="183">
        <f>K13</f>
        <v>98.00898673360496</v>
      </c>
      <c r="C34" s="581">
        <f>C32+C33</f>
        <v>10491.500000000002</v>
      </c>
      <c r="D34" s="585">
        <f>(C33*D33+C32*D32)/C34</f>
        <v>0</v>
      </c>
      <c r="E34" s="586">
        <f>E32+E33</f>
        <v>0</v>
      </c>
      <c r="F34" s="585">
        <f>E34/J43</f>
        <v>0</v>
      </c>
      <c r="G34" s="587">
        <f>G32+G33</f>
        <v>0</v>
      </c>
      <c r="H34" s="585">
        <f>G34/J43</f>
        <v>0</v>
      </c>
      <c r="I34" s="588">
        <f>I32+I33</f>
        <v>0</v>
      </c>
      <c r="J34" s="589">
        <f>I34/J43</f>
        <v>0</v>
      </c>
      <c r="K34" s="590">
        <f>B34+D34+F34+H34+J34</f>
        <v>98.00898673360496</v>
      </c>
      <c r="L34" s="433"/>
    </row>
    <row r="35" spans="1:12" ht="12.75">
      <c r="A35" s="688" t="s">
        <v>292</v>
      </c>
      <c r="B35" s="688"/>
      <c r="C35" s="688"/>
      <c r="D35" s="688"/>
      <c r="E35" s="435" t="s">
        <v>24</v>
      </c>
      <c r="F35" s="434"/>
      <c r="G35" s="434"/>
      <c r="H35" s="434"/>
      <c r="I35" s="337"/>
      <c r="J35" s="337"/>
      <c r="K35" s="436"/>
      <c r="L35" s="433"/>
    </row>
    <row r="36" spans="1:12" ht="12.75">
      <c r="A36" s="423" t="s">
        <v>24</v>
      </c>
      <c r="B36" s="423"/>
      <c r="C36" s="423"/>
      <c r="D36" s="423"/>
      <c r="E36" s="423" t="s">
        <v>24</v>
      </c>
      <c r="F36" s="423" t="s">
        <v>24</v>
      </c>
      <c r="G36" s="423" t="s">
        <v>24</v>
      </c>
      <c r="H36" s="16"/>
      <c r="I36" s="16"/>
      <c r="J36" s="16"/>
      <c r="K36" s="16"/>
      <c r="L36" s="4"/>
    </row>
    <row r="37" spans="1:12" ht="12.75">
      <c r="A37" s="7"/>
      <c r="B37" s="393"/>
      <c r="C37" s="393" t="s">
        <v>24</v>
      </c>
      <c r="D37" s="393" t="s">
        <v>24</v>
      </c>
      <c r="E37" s="400" t="s">
        <v>24</v>
      </c>
      <c r="F37" s="437" t="s">
        <v>24</v>
      </c>
      <c r="G37" s="438"/>
      <c r="H37" s="438"/>
      <c r="I37" s="438"/>
      <c r="J37" s="438"/>
      <c r="K37" s="438"/>
      <c r="L37" s="439"/>
    </row>
    <row r="38" spans="1:12" ht="18.75">
      <c r="A38" s="440" t="s">
        <v>293</v>
      </c>
      <c r="B38" s="3"/>
      <c r="C38" s="2"/>
      <c r="D38" s="2"/>
      <c r="E38" s="441"/>
      <c r="F38" s="441"/>
      <c r="G38" s="442"/>
      <c r="H38" s="441"/>
      <c r="I38" s="441"/>
      <c r="J38" s="441"/>
      <c r="K38" s="441"/>
      <c r="L38" s="443"/>
    </row>
    <row r="39" spans="1:12" ht="51">
      <c r="A39" s="248" t="s">
        <v>7</v>
      </c>
      <c r="B39" s="248" t="s">
        <v>28</v>
      </c>
      <c r="C39" s="248" t="s">
        <v>27</v>
      </c>
      <c r="D39" s="248" t="s">
        <v>33</v>
      </c>
      <c r="E39" s="248" t="s">
        <v>346</v>
      </c>
      <c r="F39" s="248" t="s">
        <v>22</v>
      </c>
      <c r="G39" s="248" t="s">
        <v>347</v>
      </c>
      <c r="H39" s="444" t="s">
        <v>23</v>
      </c>
      <c r="I39" s="444" t="s">
        <v>294</v>
      </c>
      <c r="J39" s="64" t="s">
        <v>295</v>
      </c>
      <c r="K39" s="445" t="s">
        <v>296</v>
      </c>
      <c r="L39" s="248" t="s">
        <v>7</v>
      </c>
    </row>
    <row r="40" spans="1:12" ht="12.75">
      <c r="A40" s="226" t="s">
        <v>16</v>
      </c>
      <c r="B40" s="101" t="s">
        <v>29</v>
      </c>
      <c r="C40" s="101" t="s">
        <v>35</v>
      </c>
      <c r="D40" s="101"/>
      <c r="E40" s="540">
        <v>2350</v>
      </c>
      <c r="F40" s="447">
        <f>G40/E40</f>
        <v>1.0025531914893617</v>
      </c>
      <c r="G40" s="448">
        <v>2356</v>
      </c>
      <c r="H40" s="103">
        <f>$B$8</f>
        <v>1.078524983423116</v>
      </c>
      <c r="I40" s="103">
        <f aca="true" t="shared" si="2" ref="I40:I59">H40*F40</f>
        <v>1.081278664231856</v>
      </c>
      <c r="J40" s="449">
        <f>E40*I40*$B$6</f>
        <v>2768.6788964855205</v>
      </c>
      <c r="K40" s="219">
        <f>K15</f>
        <v>117.74769322895426</v>
      </c>
      <c r="L40" s="249" t="s">
        <v>16</v>
      </c>
    </row>
    <row r="41" spans="1:12" ht="12.75">
      <c r="A41" s="226" t="s">
        <v>297</v>
      </c>
      <c r="B41" s="101"/>
      <c r="C41" s="101"/>
      <c r="D41" s="101"/>
      <c r="E41" s="540">
        <v>10520.9</v>
      </c>
      <c r="F41" s="447">
        <v>1.0087967183226982</v>
      </c>
      <c r="G41" s="451">
        <f>E41*F41</f>
        <v>10613.449393801275</v>
      </c>
      <c r="H41" s="103">
        <f aca="true" t="shared" si="3" ref="H41:H59">$B$8</f>
        <v>1.078524983423116</v>
      </c>
      <c r="I41" s="103">
        <f t="shared" si="2"/>
        <v>1.088012463906282</v>
      </c>
      <c r="J41" s="449">
        <f aca="true" t="shared" si="4" ref="J41:J59">E41*I41*$B$6</f>
        <v>12472.50991321504</v>
      </c>
      <c r="K41" s="219">
        <f>K13</f>
        <v>98.00898673360496</v>
      </c>
      <c r="L41" s="249" t="s">
        <v>30</v>
      </c>
    </row>
    <row r="42" spans="1:12" ht="12.75">
      <c r="A42" s="226" t="s">
        <v>19</v>
      </c>
      <c r="B42" s="101" t="s">
        <v>24</v>
      </c>
      <c r="C42" s="101"/>
      <c r="D42" s="101"/>
      <c r="E42" s="540">
        <v>8260</v>
      </c>
      <c r="F42" s="447">
        <f aca="true" t="shared" si="5" ref="F42:F59">G42/E42</f>
        <v>1.038861985472155</v>
      </c>
      <c r="G42" s="451">
        <v>8581</v>
      </c>
      <c r="H42" s="103">
        <f t="shared" si="3"/>
        <v>1.078524983423116</v>
      </c>
      <c r="I42" s="103">
        <f t="shared" si="2"/>
        <v>1.1204386056602615</v>
      </c>
      <c r="J42" s="449">
        <f t="shared" si="4"/>
        <v>10084.055013048497</v>
      </c>
      <c r="K42" s="219">
        <f>K13</f>
        <v>98.00898673360496</v>
      </c>
      <c r="L42" s="249" t="s">
        <v>19</v>
      </c>
    </row>
    <row r="43" spans="1:12" ht="12.75">
      <c r="A43" s="226" t="s">
        <v>45</v>
      </c>
      <c r="B43" s="101"/>
      <c r="C43" s="101"/>
      <c r="D43" s="101" t="s">
        <v>45</v>
      </c>
      <c r="E43" s="540">
        <v>12070</v>
      </c>
      <c r="F43" s="447">
        <f t="shared" si="5"/>
        <v>1.0332228666114334</v>
      </c>
      <c r="G43" s="451">
        <v>12471</v>
      </c>
      <c r="H43" s="103">
        <f t="shared" si="3"/>
        <v>1.078524983423116</v>
      </c>
      <c r="I43" s="103">
        <f t="shared" si="2"/>
        <v>1.1143566750844807</v>
      </c>
      <c r="J43" s="449">
        <f t="shared" si="4"/>
        <v>14655.430610386642</v>
      </c>
      <c r="K43" s="219">
        <f>K34</f>
        <v>98.00898673360496</v>
      </c>
      <c r="L43" s="249" t="s">
        <v>45</v>
      </c>
    </row>
    <row r="44" spans="1:12" ht="12.75">
      <c r="A44" s="226" t="s">
        <v>11</v>
      </c>
      <c r="B44" s="101" t="s">
        <v>29</v>
      </c>
      <c r="C44" s="101" t="s">
        <v>5</v>
      </c>
      <c r="D44" s="249" t="s">
        <v>11</v>
      </c>
      <c r="E44" s="540">
        <v>6100</v>
      </c>
      <c r="F44" s="447">
        <f t="shared" si="5"/>
        <v>1.0614754098360655</v>
      </c>
      <c r="G44" s="448">
        <v>6475</v>
      </c>
      <c r="H44" s="103">
        <f t="shared" si="3"/>
        <v>1.078524983423116</v>
      </c>
      <c r="I44" s="103">
        <f t="shared" si="2"/>
        <v>1.1448277487974878</v>
      </c>
      <c r="J44" s="449">
        <f t="shared" si="4"/>
        <v>7609.16632204743</v>
      </c>
      <c r="K44" s="219">
        <f>K19</f>
        <v>97.11831312699445</v>
      </c>
      <c r="L44" s="249" t="s">
        <v>11</v>
      </c>
    </row>
    <row r="45" spans="1:12" ht="12.75">
      <c r="A45" s="226" t="s">
        <v>20</v>
      </c>
      <c r="B45" s="101"/>
      <c r="C45" s="101"/>
      <c r="D45" s="249" t="s">
        <v>20</v>
      </c>
      <c r="E45" s="540">
        <v>19640</v>
      </c>
      <c r="F45" s="447">
        <f t="shared" si="5"/>
        <v>1.0917006109979634</v>
      </c>
      <c r="G45" s="448">
        <v>21441</v>
      </c>
      <c r="H45" s="103">
        <f t="shared" si="3"/>
        <v>1.078524983423116</v>
      </c>
      <c r="I45" s="103">
        <f t="shared" si="2"/>
        <v>1.1774263833795842</v>
      </c>
      <c r="J45" s="449">
        <f t="shared" si="4"/>
        <v>25196.623183168955</v>
      </c>
      <c r="K45" s="219">
        <f>K18</f>
        <v>198.88024601628555</v>
      </c>
      <c r="L45" s="249" t="s">
        <v>20</v>
      </c>
    </row>
    <row r="46" spans="1:12" ht="12.75">
      <c r="A46" s="226" t="s">
        <v>21</v>
      </c>
      <c r="B46" s="101"/>
      <c r="C46" s="101"/>
      <c r="D46" s="101"/>
      <c r="E46" s="540">
        <v>3210</v>
      </c>
      <c r="F46" s="447">
        <f t="shared" si="5"/>
        <v>1.02398753894081</v>
      </c>
      <c r="G46" s="448">
        <v>3287</v>
      </c>
      <c r="H46" s="103">
        <f t="shared" si="3"/>
        <v>1.078524983423116</v>
      </c>
      <c r="I46" s="103">
        <f t="shared" si="2"/>
        <v>1.1043961434616145</v>
      </c>
      <c r="J46" s="449">
        <f t="shared" si="4"/>
        <v>3862.753621709638</v>
      </c>
      <c r="K46" s="219">
        <f>K13</f>
        <v>98.00898673360496</v>
      </c>
      <c r="L46" s="249" t="s">
        <v>21</v>
      </c>
    </row>
    <row r="47" spans="1:12" ht="12.75">
      <c r="A47" s="226" t="s">
        <v>298</v>
      </c>
      <c r="B47" s="101"/>
      <c r="C47" s="101"/>
      <c r="D47" s="101"/>
      <c r="E47" s="540">
        <v>4151.8</v>
      </c>
      <c r="F47" s="447">
        <v>1.0716297786720321</v>
      </c>
      <c r="G47" s="451">
        <f>E47*F47</f>
        <v>4449.192515090544</v>
      </c>
      <c r="H47" s="103">
        <f t="shared" si="3"/>
        <v>1.078524983423116</v>
      </c>
      <c r="I47" s="103">
        <f t="shared" si="2"/>
        <v>1.155779489277971</v>
      </c>
      <c r="J47" s="449">
        <f t="shared" si="4"/>
        <v>5228.516732993431</v>
      </c>
      <c r="K47" s="219">
        <f>K13</f>
        <v>98.00898673360496</v>
      </c>
      <c r="L47" s="249" t="s">
        <v>55</v>
      </c>
    </row>
    <row r="48" spans="1:12" ht="12.75">
      <c r="A48" s="226" t="s">
        <v>44</v>
      </c>
      <c r="B48" s="101"/>
      <c r="C48" s="101"/>
      <c r="D48" s="101"/>
      <c r="E48" s="540">
        <v>2620</v>
      </c>
      <c r="F48" s="447">
        <f t="shared" si="5"/>
        <v>1.0519083969465648</v>
      </c>
      <c r="G48" s="448">
        <v>2756</v>
      </c>
      <c r="H48" s="103">
        <f t="shared" si="3"/>
        <v>1.078524983423116</v>
      </c>
      <c r="I48" s="103">
        <f t="shared" si="2"/>
        <v>1.1345094863794305</v>
      </c>
      <c r="J48" s="449">
        <f t="shared" si="4"/>
        <v>3238.7432252606513</v>
      </c>
      <c r="K48" s="219">
        <f>K13</f>
        <v>98.00898673360496</v>
      </c>
      <c r="L48" s="249" t="s">
        <v>44</v>
      </c>
    </row>
    <row r="49" spans="1:12" ht="12.75">
      <c r="A49" s="226" t="s">
        <v>31</v>
      </c>
      <c r="B49" s="101"/>
      <c r="C49" s="101"/>
      <c r="D49" s="101"/>
      <c r="E49" s="540">
        <v>18330</v>
      </c>
      <c r="F49" s="447">
        <f t="shared" si="5"/>
        <v>1.0426623022367703</v>
      </c>
      <c r="G49" s="448">
        <v>19112</v>
      </c>
      <c r="H49" s="103">
        <f t="shared" si="3"/>
        <v>1.078524983423116</v>
      </c>
      <c r="I49" s="103">
        <f t="shared" si="2"/>
        <v>1.1245373422358207</v>
      </c>
      <c r="J49" s="449">
        <f t="shared" si="4"/>
        <v>22459.673628875753</v>
      </c>
      <c r="K49" s="219">
        <f>K13</f>
        <v>98.00898673360496</v>
      </c>
      <c r="L49" s="249" t="s">
        <v>31</v>
      </c>
    </row>
    <row r="50" spans="1:12" ht="12.75">
      <c r="A50" s="226" t="s">
        <v>17</v>
      </c>
      <c r="B50" s="101" t="s">
        <v>29</v>
      </c>
      <c r="C50" s="101" t="s">
        <v>35</v>
      </c>
      <c r="D50" s="101" t="s">
        <v>17</v>
      </c>
      <c r="E50" s="540">
        <v>3650</v>
      </c>
      <c r="F50" s="447">
        <f t="shared" si="5"/>
        <v>1.0364383561643835</v>
      </c>
      <c r="G50" s="448">
        <v>3783</v>
      </c>
      <c r="H50" s="103">
        <f t="shared" si="3"/>
        <v>1.078524983423116</v>
      </c>
      <c r="I50" s="103">
        <f t="shared" si="2"/>
        <v>1.1178246609012734</v>
      </c>
      <c r="J50" s="449">
        <f t="shared" si="4"/>
        <v>4445.6333893908</v>
      </c>
      <c r="K50" s="219">
        <f>K31</f>
        <v>117.74769322895426</v>
      </c>
      <c r="L50" s="249" t="s">
        <v>17</v>
      </c>
    </row>
    <row r="51" spans="1:12" ht="12.75">
      <c r="A51" s="226" t="s">
        <v>299</v>
      </c>
      <c r="B51" s="101"/>
      <c r="C51" s="101"/>
      <c r="D51" s="101"/>
      <c r="E51" s="540">
        <v>2162.3</v>
      </c>
      <c r="F51" s="447">
        <v>1.0042105263157894</v>
      </c>
      <c r="G51" s="451">
        <f>E51*F51</f>
        <v>2171.4044210526317</v>
      </c>
      <c r="H51" s="103">
        <f t="shared" si="3"/>
        <v>1.078524983423116</v>
      </c>
      <c r="I51" s="103">
        <f t="shared" si="2"/>
        <v>1.0830661412480556</v>
      </c>
      <c r="J51" s="449">
        <f t="shared" si="4"/>
        <v>2551.7494042036424</v>
      </c>
      <c r="K51" s="219">
        <f>K13</f>
        <v>98.00898673360496</v>
      </c>
      <c r="L51" s="249" t="s">
        <v>131</v>
      </c>
    </row>
    <row r="52" spans="1:12" ht="12.75">
      <c r="A52" s="226" t="s">
        <v>12</v>
      </c>
      <c r="B52" s="101" t="s">
        <v>29</v>
      </c>
      <c r="C52" s="101" t="s">
        <v>35</v>
      </c>
      <c r="D52" s="101"/>
      <c r="E52" s="540">
        <v>5570</v>
      </c>
      <c r="F52" s="447">
        <f t="shared" si="5"/>
        <v>1.0213644524236984</v>
      </c>
      <c r="G52" s="448">
        <v>5689</v>
      </c>
      <c r="H52" s="103">
        <f t="shared" si="3"/>
        <v>1.078524983423116</v>
      </c>
      <c r="I52" s="103">
        <f t="shared" si="2"/>
        <v>1.1015670791192294</v>
      </c>
      <c r="J52" s="449">
        <f t="shared" si="4"/>
        <v>6685.4899160043</v>
      </c>
      <c r="K52" s="219">
        <f>K15</f>
        <v>117.74769322895426</v>
      </c>
      <c r="L52" s="249" t="s">
        <v>12</v>
      </c>
    </row>
    <row r="53" spans="1:12" ht="12.75">
      <c r="A53" s="226" t="s">
        <v>13</v>
      </c>
      <c r="B53" s="101" t="s">
        <v>29</v>
      </c>
      <c r="C53" s="101"/>
      <c r="D53" s="101"/>
      <c r="E53" s="540">
        <v>2810</v>
      </c>
      <c r="F53" s="447">
        <f t="shared" si="5"/>
        <v>1.0234875444839857</v>
      </c>
      <c r="G53" s="448">
        <v>2876</v>
      </c>
      <c r="H53" s="103">
        <f t="shared" si="3"/>
        <v>1.078524983423116</v>
      </c>
      <c r="I53" s="103">
        <f t="shared" si="2"/>
        <v>1.1038568869483565</v>
      </c>
      <c r="J53" s="449">
        <f t="shared" si="4"/>
        <v>3379.7625238931905</v>
      </c>
      <c r="K53" s="219">
        <f>K14</f>
        <v>98.00898673360496</v>
      </c>
      <c r="L53" s="249" t="s">
        <v>13</v>
      </c>
    </row>
    <row r="54" spans="1:12" ht="12.75">
      <c r="A54" s="226" t="s">
        <v>9</v>
      </c>
      <c r="B54" s="101" t="s">
        <v>29</v>
      </c>
      <c r="C54" s="101" t="s">
        <v>35</v>
      </c>
      <c r="D54" s="101"/>
      <c r="E54" s="540">
        <v>7950</v>
      </c>
      <c r="F54" s="447">
        <f t="shared" si="5"/>
        <v>1.0534591194968554</v>
      </c>
      <c r="G54" s="448">
        <v>8375</v>
      </c>
      <c r="H54" s="103">
        <f t="shared" si="3"/>
        <v>1.078524983423116</v>
      </c>
      <c r="I54" s="103">
        <f t="shared" si="2"/>
        <v>1.1361819793922765</v>
      </c>
      <c r="J54" s="449">
        <f t="shared" si="4"/>
        <v>9841.971883729302</v>
      </c>
      <c r="K54" s="219">
        <f>K15</f>
        <v>117.74769322895426</v>
      </c>
      <c r="L54" s="249" t="s">
        <v>9</v>
      </c>
    </row>
    <row r="55" spans="1:12" ht="12.75">
      <c r="A55" s="226" t="s">
        <v>14</v>
      </c>
      <c r="B55" s="101" t="s">
        <v>29</v>
      </c>
      <c r="C55" s="101"/>
      <c r="D55" s="101"/>
      <c r="E55" s="540">
        <v>2760</v>
      </c>
      <c r="F55" s="447">
        <f t="shared" si="5"/>
        <v>1.0039855072463768</v>
      </c>
      <c r="G55" s="448">
        <v>2771</v>
      </c>
      <c r="H55" s="103">
        <f t="shared" si="3"/>
        <v>1.078524983423116</v>
      </c>
      <c r="I55" s="103">
        <f t="shared" si="2"/>
        <v>1.0828234525599474</v>
      </c>
      <c r="J55" s="449">
        <f t="shared" si="4"/>
        <v>3256.3706375897195</v>
      </c>
      <c r="K55" s="219">
        <f>K14</f>
        <v>98.00898673360496</v>
      </c>
      <c r="L55" s="249" t="s">
        <v>14</v>
      </c>
    </row>
    <row r="56" spans="1:12" ht="12.75">
      <c r="A56" s="226" t="s">
        <v>15</v>
      </c>
      <c r="B56" s="101" t="s">
        <v>29</v>
      </c>
      <c r="C56" s="101" t="s">
        <v>5</v>
      </c>
      <c r="D56" s="101" t="s">
        <v>15</v>
      </c>
      <c r="E56" s="540">
        <v>5850</v>
      </c>
      <c r="F56" s="447">
        <f t="shared" si="5"/>
        <v>1.0591452991452992</v>
      </c>
      <c r="G56" s="448">
        <v>6196</v>
      </c>
      <c r="H56" s="103">
        <f t="shared" si="3"/>
        <v>1.078524983423116</v>
      </c>
      <c r="I56" s="103">
        <f t="shared" si="2"/>
        <v>1.1423146662033552</v>
      </c>
      <c r="J56" s="449">
        <f t="shared" si="4"/>
        <v>7281.296452726779</v>
      </c>
      <c r="K56" s="219">
        <f>K17</f>
        <v>92.79628110536672</v>
      </c>
      <c r="L56" s="249" t="s">
        <v>15</v>
      </c>
    </row>
    <row r="57" spans="1:12" ht="12.75">
      <c r="A57" s="226" t="s">
        <v>10</v>
      </c>
      <c r="B57" s="101" t="s">
        <v>29</v>
      </c>
      <c r="C57" s="101"/>
      <c r="D57" s="249" t="s">
        <v>10</v>
      </c>
      <c r="E57" s="540">
        <f>6600+185</f>
        <v>6785</v>
      </c>
      <c r="F57" s="447">
        <f t="shared" si="5"/>
        <v>1.0399410464259395</v>
      </c>
      <c r="G57" s="448">
        <f>6874+182</f>
        <v>7056</v>
      </c>
      <c r="H57" s="103">
        <f t="shared" si="3"/>
        <v>1.078524983423116</v>
      </c>
      <c r="I57" s="103">
        <f t="shared" si="2"/>
        <v>1.1216023998575544</v>
      </c>
      <c r="J57" s="449">
        <f t="shared" si="4"/>
        <v>8291.934759593307</v>
      </c>
      <c r="K57" s="219">
        <f>K20</f>
        <v>98.00898673360496</v>
      </c>
      <c r="L57" s="249" t="s">
        <v>10</v>
      </c>
    </row>
    <row r="58" spans="1:12" ht="12.75">
      <c r="A58" s="226" t="s">
        <v>8</v>
      </c>
      <c r="B58" s="101" t="s">
        <v>29</v>
      </c>
      <c r="C58" s="101" t="s">
        <v>35</v>
      </c>
      <c r="D58" s="101" t="s">
        <v>8</v>
      </c>
      <c r="E58" s="540">
        <v>9450</v>
      </c>
      <c r="F58" s="447">
        <f t="shared" si="5"/>
        <v>1.0058201058201057</v>
      </c>
      <c r="G58" s="448">
        <v>9505</v>
      </c>
      <c r="H58" s="103">
        <f t="shared" si="3"/>
        <v>1.078524983423116</v>
      </c>
      <c r="I58" s="103">
        <f t="shared" si="2"/>
        <v>1.0848021129562664</v>
      </c>
      <c r="J58" s="449">
        <f t="shared" si="4"/>
        <v>11169.903612519045</v>
      </c>
      <c r="K58" s="219">
        <f>K28</f>
        <v>118.00074572591869</v>
      </c>
      <c r="L58" s="249" t="s">
        <v>8</v>
      </c>
    </row>
    <row r="59" spans="1:12" ht="12.75">
      <c r="A59" s="226" t="s">
        <v>18</v>
      </c>
      <c r="B59" s="101" t="s">
        <v>29</v>
      </c>
      <c r="C59" s="101" t="s">
        <v>35</v>
      </c>
      <c r="D59" s="101"/>
      <c r="E59" s="540">
        <v>380</v>
      </c>
      <c r="F59" s="447">
        <f t="shared" si="5"/>
        <v>1.0026315789473683</v>
      </c>
      <c r="G59" s="448">
        <v>381</v>
      </c>
      <c r="H59" s="103">
        <f t="shared" si="3"/>
        <v>1.078524983423116</v>
      </c>
      <c r="I59" s="103">
        <f t="shared" si="2"/>
        <v>1.0813632070637031</v>
      </c>
      <c r="J59" s="449">
        <f t="shared" si="4"/>
        <v>447.73627315831214</v>
      </c>
      <c r="K59" s="219">
        <f>K15</f>
        <v>117.74769322895426</v>
      </c>
      <c r="L59" s="249" t="s">
        <v>18</v>
      </c>
    </row>
    <row r="60" spans="1:12" ht="12.75">
      <c r="A60" s="452" t="s">
        <v>73</v>
      </c>
      <c r="B60" s="25"/>
      <c r="C60" s="23"/>
      <c r="D60" s="23"/>
      <c r="E60" s="453">
        <f>SUM(E40:E59)</f>
        <v>134620</v>
      </c>
      <c r="F60" s="454"/>
      <c r="G60" s="453">
        <f>SUM(G40:G59)</f>
        <v>140345.04632994445</v>
      </c>
      <c r="H60" s="455"/>
      <c r="I60" s="455"/>
      <c r="J60" s="456">
        <f>SUM(J40:J59)</f>
        <v>164927.99999999994</v>
      </c>
      <c r="K60" s="457" t="s">
        <v>24</v>
      </c>
      <c r="L60" s="457"/>
    </row>
    <row r="61" spans="1:12" ht="12.75">
      <c r="A61" s="107" t="s">
        <v>300</v>
      </c>
      <c r="B61" s="25"/>
      <c r="C61" s="23"/>
      <c r="D61" s="23"/>
      <c r="E61" s="458" t="s">
        <v>24</v>
      </c>
      <c r="F61" s="459"/>
      <c r="G61" s="460" t="s">
        <v>24</v>
      </c>
      <c r="H61" s="460"/>
      <c r="I61" s="65"/>
      <c r="J61" s="65"/>
      <c r="K61" s="461"/>
      <c r="L61" s="462"/>
    </row>
  </sheetData>
  <sheetProtection/>
  <mergeCells count="1">
    <mergeCell ref="A35:D35"/>
  </mergeCells>
  <printOptions/>
  <pageMargins left="0.7" right="0.7" top="0.75" bottom="0.75" header="0.3" footer="0.3"/>
  <pageSetup fitToHeight="1" fitToWidth="1" horizontalDpi="600" verticalDpi="600" orientation="landscape" paperSize="17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0" width="16.7109375" style="0" customWidth="1"/>
  </cols>
  <sheetData>
    <row r="1" spans="1:25" ht="18.75">
      <c r="A1" s="119" t="s">
        <v>348</v>
      </c>
      <c r="B1" s="4"/>
      <c r="C1" s="4"/>
      <c r="D1" s="4"/>
      <c r="E1" s="4"/>
      <c r="F1" s="463" t="s">
        <v>24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.75">
      <c r="A2" s="1" t="s">
        <v>24</v>
      </c>
      <c r="B2" s="4"/>
      <c r="C2" s="4" t="s">
        <v>24</v>
      </c>
      <c r="D2" s="693" t="s">
        <v>24</v>
      </c>
      <c r="E2" s="464" t="s">
        <v>24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8.75">
      <c r="A3" s="465" t="s">
        <v>68</v>
      </c>
      <c r="B3" s="1"/>
      <c r="C3" s="466" t="s">
        <v>24</v>
      </c>
      <c r="D3" s="357" t="s">
        <v>24</v>
      </c>
      <c r="F3" s="357"/>
      <c r="G3" s="16"/>
      <c r="H3" s="16"/>
      <c r="I3" s="16" t="s">
        <v>24</v>
      </c>
      <c r="J3" s="4"/>
      <c r="K3" s="426"/>
      <c r="L3" s="426"/>
      <c r="Y3" s="426"/>
    </row>
    <row r="4" spans="1:23" ht="89.25">
      <c r="A4" s="203" t="s">
        <v>3</v>
      </c>
      <c r="B4" s="539" t="s">
        <v>283</v>
      </c>
      <c r="C4" s="539" t="s">
        <v>301</v>
      </c>
      <c r="D4" s="539" t="s">
        <v>302</v>
      </c>
      <c r="E4" s="203" t="s">
        <v>71</v>
      </c>
      <c r="F4" s="203" t="s">
        <v>303</v>
      </c>
      <c r="G4" s="203" t="s">
        <v>79</v>
      </c>
      <c r="H4" s="203" t="s">
        <v>304</v>
      </c>
      <c r="I4" s="467" t="s">
        <v>320</v>
      </c>
      <c r="J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</row>
    <row r="5" spans="1:23" ht="12.75">
      <c r="A5" s="468" t="s">
        <v>29</v>
      </c>
      <c r="B5" s="469">
        <f>'2nd IA Load Pricing Results'!B14</f>
        <v>65177.94466713771</v>
      </c>
      <c r="C5" s="470">
        <f>'BRA Resource Clearing Results'!E30-'1stIA Resource Clearing Results'!M30-'2ndIA Resource Clearing Results'!M30</f>
        <v>63875.1</v>
      </c>
      <c r="D5" s="471">
        <f>MAX(0,B5-C5)</f>
        <v>1302.8446671377096</v>
      </c>
      <c r="E5" s="126">
        <v>0</v>
      </c>
      <c r="F5" s="593">
        <f aca="true" t="shared" si="0" ref="F5:F14">D5-E5</f>
        <v>1302.8446671377096</v>
      </c>
      <c r="G5" s="52">
        <f>'2nd IA ICTRs'!C27</f>
        <v>712.967756494992</v>
      </c>
      <c r="H5" s="52">
        <f>'2nd IA ICTRs'!C13+'2nd IA ICTRs'!C20</f>
        <v>589.8769106427176</v>
      </c>
      <c r="I5" s="472">
        <f aca="true" t="shared" si="1" ref="I5:I14">F5-G5-H5</f>
        <v>0</v>
      </c>
      <c r="J5" s="473" t="s">
        <v>24</v>
      </c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</row>
    <row r="6" spans="1:23" ht="12.75">
      <c r="A6" s="468" t="s">
        <v>35</v>
      </c>
      <c r="B6" s="469">
        <f>'2nd IA Load Pricing Results'!B15</f>
        <v>35359.41397128728</v>
      </c>
      <c r="C6" s="470">
        <f>'BRA Resource Clearing Results'!E31-'1stIA Resource Clearing Results'!M31-'2ndIA Resource Clearing Results'!M31</f>
        <v>30726.600000000002</v>
      </c>
      <c r="D6" s="471">
        <f>B6-C6-26.241537160606</f>
        <v>4606.5724341266705</v>
      </c>
      <c r="E6" s="126">
        <v>0</v>
      </c>
      <c r="F6" s="594">
        <f t="shared" si="0"/>
        <v>4606.5724341266705</v>
      </c>
      <c r="G6" s="52">
        <f>'1st IA ICTRs'!D27</f>
        <v>0</v>
      </c>
      <c r="H6" s="52">
        <f>'2nd IA ICTRs'!D13+'2nd IA ICTRs'!D20</f>
        <v>898</v>
      </c>
      <c r="I6" s="475">
        <f t="shared" si="1"/>
        <v>3708.5724341266705</v>
      </c>
      <c r="J6" s="473" t="s">
        <v>24</v>
      </c>
      <c r="M6" s="393" t="s">
        <v>24</v>
      </c>
      <c r="N6" s="393"/>
      <c r="O6" s="393"/>
      <c r="P6" s="393"/>
      <c r="Q6" s="393"/>
      <c r="R6" s="393"/>
      <c r="S6" s="393"/>
      <c r="T6" s="393"/>
      <c r="U6" s="393"/>
      <c r="V6" s="393"/>
      <c r="W6" s="393"/>
    </row>
    <row r="7" spans="1:23" ht="12.75">
      <c r="A7" s="468" t="s">
        <v>5</v>
      </c>
      <c r="B7" s="469">
        <f>'2nd IA Load Pricing Results'!B16</f>
        <v>14890.462774774209</v>
      </c>
      <c r="C7" s="470">
        <f>'BRA Resource Clearing Results'!E32-'1stIA Resource Clearing Results'!M32-'2ndIA Resource Clearing Results'!M32</f>
        <v>10357.899999999998</v>
      </c>
      <c r="D7" s="471">
        <f>B7-C7</f>
        <v>4532.562774774211</v>
      </c>
      <c r="E7" s="126">
        <v>0</v>
      </c>
      <c r="F7" s="594">
        <f t="shared" si="0"/>
        <v>4532.562774774211</v>
      </c>
      <c r="G7" s="52">
        <f>'1st IA ICTRs'!E27</f>
        <v>0</v>
      </c>
      <c r="H7" s="52">
        <f>'2nd IA ICTRs'!E13+'2nd IA ICTRs'!E20</f>
        <v>493</v>
      </c>
      <c r="I7" s="475">
        <f t="shared" si="1"/>
        <v>4039.562774774211</v>
      </c>
      <c r="J7" s="473" t="s">
        <v>24</v>
      </c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</row>
    <row r="8" spans="1:23" ht="12.75">
      <c r="A8" s="468" t="s">
        <v>42</v>
      </c>
      <c r="B8" s="469">
        <f>'2nd IA Load Pricing Results'!J58</f>
        <v>11169.903612519045</v>
      </c>
      <c r="C8" s="470">
        <f>'2nd IA Load Pricing Results'!C28</f>
        <v>5480</v>
      </c>
      <c r="D8" s="477">
        <f>B8-C8</f>
        <v>5689.903612519045</v>
      </c>
      <c r="E8" s="126">
        <v>0</v>
      </c>
      <c r="F8" s="594">
        <f t="shared" si="0"/>
        <v>5689.903612519045</v>
      </c>
      <c r="G8" s="52">
        <v>0</v>
      </c>
      <c r="H8" s="52">
        <v>0</v>
      </c>
      <c r="I8" s="475">
        <f t="shared" si="1"/>
        <v>5689.903612519045</v>
      </c>
      <c r="J8" s="473" t="s">
        <v>24</v>
      </c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</row>
    <row r="9" spans="1:23" ht="12.75">
      <c r="A9" s="468" t="s">
        <v>40</v>
      </c>
      <c r="B9" s="469">
        <f>'2nd IA Load Pricing Results'!J50</f>
        <v>4445.6333893908</v>
      </c>
      <c r="C9" s="470">
        <f>'2nd IA Load Pricing Results'!C31</f>
        <v>5006.299999999999</v>
      </c>
      <c r="D9" s="471">
        <f>MAX(0,B9-C9)</f>
        <v>0</v>
      </c>
      <c r="E9" s="126">
        <v>0</v>
      </c>
      <c r="F9" s="595">
        <f t="shared" si="0"/>
        <v>0</v>
      </c>
      <c r="G9" s="52">
        <f>'2nd IA ICTRs'!I27</f>
        <v>0</v>
      </c>
      <c r="H9" s="52">
        <v>0</v>
      </c>
      <c r="I9" s="476">
        <f t="shared" si="1"/>
        <v>0</v>
      </c>
      <c r="J9" s="473" t="s">
        <v>24</v>
      </c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</row>
    <row r="10" spans="1:23" ht="12.75">
      <c r="A10" s="468" t="s">
        <v>15</v>
      </c>
      <c r="B10" s="469">
        <f>'2nd IA Load Pricing Results'!B17</f>
        <v>7281.296452726779</v>
      </c>
      <c r="C10" s="470">
        <f>'BRA Resource Clearing Results'!E36-'1stIA Resource Clearing Results'!M36-'2ndIA Resource Clearing Results'!M36</f>
        <v>5462.400000000001</v>
      </c>
      <c r="D10" s="471">
        <f>B10-C10</f>
        <v>1818.896452726778</v>
      </c>
      <c r="E10" s="126">
        <v>0</v>
      </c>
      <c r="F10" s="593">
        <f t="shared" si="0"/>
        <v>1818.896452726778</v>
      </c>
      <c r="G10" s="52">
        <f>'2nd IA ICTRs'!J27</f>
        <v>0</v>
      </c>
      <c r="H10" s="52">
        <f>'2nd IA ICTRs'!J13+'2nd IA ICTRs'!J20</f>
        <v>0</v>
      </c>
      <c r="I10" s="475">
        <f t="shared" si="1"/>
        <v>1818.896452726778</v>
      </c>
      <c r="J10" s="473" t="s">
        <v>24</v>
      </c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</row>
    <row r="11" spans="1:23" ht="12.75">
      <c r="A11" s="468" t="s">
        <v>45</v>
      </c>
      <c r="B11" s="469">
        <f>'2nd IA Load Pricing Results'!J43</f>
        <v>14655.430610386642</v>
      </c>
      <c r="C11" s="470">
        <f>'2nd IA Load Pricing Results'!C34</f>
        <v>10491.500000000002</v>
      </c>
      <c r="D11" s="477">
        <f>B11-C11</f>
        <v>4163.93061038664</v>
      </c>
      <c r="E11" s="126">
        <v>0</v>
      </c>
      <c r="F11" s="593">
        <f t="shared" si="0"/>
        <v>4163.93061038664</v>
      </c>
      <c r="G11" s="52">
        <v>0</v>
      </c>
      <c r="H11" s="52">
        <v>0</v>
      </c>
      <c r="I11" s="475">
        <f t="shared" si="1"/>
        <v>4163.93061038664</v>
      </c>
      <c r="J11" s="473" t="s">
        <v>24</v>
      </c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</row>
    <row r="12" spans="1:23" ht="12.75">
      <c r="A12" s="468" t="s">
        <v>20</v>
      </c>
      <c r="B12" s="469">
        <f>'2nd IA Load Pricing Results'!B18</f>
        <v>25196.623183168955</v>
      </c>
      <c r="C12" s="470">
        <f>'BRA Resource Clearing Results'!E39-'1stIA Resource Clearing Results'!M39-'2ndIA Resource Clearing Results'!M39</f>
        <v>23403.8</v>
      </c>
      <c r="D12" s="471">
        <f>B12-C12</f>
        <v>1792.8231831689554</v>
      </c>
      <c r="E12" s="126">
        <v>0</v>
      </c>
      <c r="F12" s="593">
        <f t="shared" si="0"/>
        <v>1792.8231831689554</v>
      </c>
      <c r="G12" s="52">
        <v>0</v>
      </c>
      <c r="H12" s="52">
        <v>0</v>
      </c>
      <c r="I12" s="475">
        <f t="shared" si="1"/>
        <v>1792.8231831689554</v>
      </c>
      <c r="J12" s="473" t="s">
        <v>24</v>
      </c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</row>
    <row r="13" spans="1:23" ht="12.75">
      <c r="A13" s="468" t="s">
        <v>11</v>
      </c>
      <c r="B13" s="469">
        <f>'2nd IA Load Pricing Results'!B19</f>
        <v>7609.16632204743</v>
      </c>
      <c r="C13" s="470">
        <f>'BRA Resource Clearing Results'!E40-'1stIA Resource Clearing Results'!M40-'2ndIA Resource Clearing Results'!M40</f>
        <v>2468.8</v>
      </c>
      <c r="D13" s="477">
        <f>B13-C13</f>
        <v>5140.36632204743</v>
      </c>
      <c r="E13" s="126">
        <v>0</v>
      </c>
      <c r="F13" s="593">
        <f t="shared" si="0"/>
        <v>5140.36632204743</v>
      </c>
      <c r="G13" s="52">
        <f>'2nd IA ICTRs'!L27</f>
        <v>0</v>
      </c>
      <c r="H13" s="52">
        <f>'2nd IA ICTRs'!K13+'2nd IA ICTRs'!L20</f>
        <v>0</v>
      </c>
      <c r="I13" s="475">
        <f t="shared" si="1"/>
        <v>5140.36632204743</v>
      </c>
      <c r="J13" s="473" t="s">
        <v>24</v>
      </c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</row>
    <row r="14" spans="1:23" ht="12.75">
      <c r="A14" s="468" t="s">
        <v>10</v>
      </c>
      <c r="B14" s="469">
        <f>'2nd IA Load Pricing Results'!B20</f>
        <v>8291.934759593307</v>
      </c>
      <c r="C14" s="470">
        <f>'BRA Resource Clearing Results'!E41-'1stIA Resource Clearing Results'!M41-'2ndIA Resource Clearing Results'!M41</f>
        <v>9850.8</v>
      </c>
      <c r="D14" s="471">
        <f>MAX(0,B14-C14)</f>
        <v>0</v>
      </c>
      <c r="E14" s="126">
        <v>0</v>
      </c>
      <c r="F14" s="593">
        <f t="shared" si="0"/>
        <v>0</v>
      </c>
      <c r="G14" s="52">
        <v>0</v>
      </c>
      <c r="H14" s="52">
        <v>0</v>
      </c>
      <c r="I14" s="476">
        <f t="shared" si="1"/>
        <v>0</v>
      </c>
      <c r="J14" s="473" t="s">
        <v>24</v>
      </c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</row>
    <row r="15" spans="1:24" ht="12.75">
      <c r="A15" s="23" t="s">
        <v>305</v>
      </c>
      <c r="B15" s="34"/>
      <c r="C15" s="34"/>
      <c r="D15" s="59"/>
      <c r="E15" s="25"/>
      <c r="F15" s="59"/>
      <c r="G15" s="60"/>
      <c r="H15" s="478"/>
      <c r="I15" s="60"/>
      <c r="J15" s="366"/>
      <c r="K15" s="390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</row>
    <row r="16" spans="1:24" ht="12.75">
      <c r="A16" s="423"/>
      <c r="B16" s="15"/>
      <c r="C16" s="15"/>
      <c r="D16" s="391"/>
      <c r="E16" s="15"/>
      <c r="F16" s="391"/>
      <c r="G16" s="479"/>
      <c r="H16" s="404"/>
      <c r="I16" s="479"/>
      <c r="J16" s="366"/>
      <c r="K16" s="390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</row>
    <row r="17" spans="1:25" ht="14.25">
      <c r="A17" s="691" t="s">
        <v>88</v>
      </c>
      <c r="B17" s="691"/>
      <c r="C17" s="691"/>
      <c r="D17" s="691"/>
      <c r="E17" s="480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</row>
    <row r="18" spans="1:28" ht="15">
      <c r="A18" s="691"/>
      <c r="B18" s="691"/>
      <c r="C18" s="691"/>
      <c r="D18" s="691"/>
      <c r="E18" s="689" t="s">
        <v>29</v>
      </c>
      <c r="F18" s="689"/>
      <c r="G18" s="689" t="s">
        <v>35</v>
      </c>
      <c r="H18" s="689"/>
      <c r="I18" s="689" t="s">
        <v>5</v>
      </c>
      <c r="J18" s="689"/>
      <c r="K18" s="689" t="s">
        <v>42</v>
      </c>
      <c r="L18" s="689"/>
      <c r="M18" s="689" t="s">
        <v>40</v>
      </c>
      <c r="N18" s="689"/>
      <c r="O18" s="689" t="s">
        <v>15</v>
      </c>
      <c r="P18" s="689"/>
      <c r="Q18" s="689" t="s">
        <v>129</v>
      </c>
      <c r="R18" s="689"/>
      <c r="S18" s="689" t="s">
        <v>20</v>
      </c>
      <c r="T18" s="689"/>
      <c r="U18" s="689" t="s">
        <v>11</v>
      </c>
      <c r="V18" s="689"/>
      <c r="W18" s="689" t="s">
        <v>10</v>
      </c>
      <c r="X18" s="689"/>
      <c r="Y18" s="482"/>
      <c r="Z18" s="482"/>
      <c r="AA18" s="482"/>
      <c r="AB18" s="23"/>
    </row>
    <row r="19" spans="1:28" ht="45">
      <c r="A19" s="692"/>
      <c r="B19" s="692"/>
      <c r="C19" s="692"/>
      <c r="D19" s="692"/>
      <c r="E19" s="483" t="s">
        <v>306</v>
      </c>
      <c r="F19" s="484">
        <f>'2nd IA Load Pricing Results'!D14</f>
        <v>0</v>
      </c>
      <c r="G19" s="483" t="s">
        <v>306</v>
      </c>
      <c r="H19" s="484">
        <f>'2nd IA Load Pricing Results'!D15-'2nd IA Load Pricing Results'!D14</f>
        <v>19.738706495349305</v>
      </c>
      <c r="I19" s="483" t="s">
        <v>306</v>
      </c>
      <c r="J19" s="484">
        <f>'2nd IA Load Pricing Results'!D16-'2nd IA Load Pricing Results'!D14</f>
        <v>0</v>
      </c>
      <c r="K19" s="483" t="s">
        <v>306</v>
      </c>
      <c r="L19" s="484">
        <f>'2nd IA Load Pricing Results'!D28</f>
        <v>0</v>
      </c>
      <c r="M19" s="483" t="s">
        <v>306</v>
      </c>
      <c r="N19" s="484">
        <f>'2nd IA Load Pricing Results'!D31</f>
        <v>0</v>
      </c>
      <c r="O19" s="483" t="s">
        <v>306</v>
      </c>
      <c r="P19" s="484">
        <f>'2nd IA Load Pricing Results'!D17-'2nd IA Load Pricing Results'!D16</f>
        <v>0</v>
      </c>
      <c r="Q19" s="483" t="s">
        <v>306</v>
      </c>
      <c r="R19" s="485">
        <f>'2nd IA Load Pricing Results'!D34</f>
        <v>0</v>
      </c>
      <c r="S19" s="483" t="s">
        <v>306</v>
      </c>
      <c r="T19" s="485">
        <f>'2nd IA Load Pricing Results'!D18</f>
        <v>100.8712592826806</v>
      </c>
      <c r="U19" s="483" t="s">
        <v>306</v>
      </c>
      <c r="V19" s="485">
        <f>'2nd IA Load Pricing Results'!D19-'2nd IA Load Pricing Results'!D16</f>
        <v>-0.8906736066104991</v>
      </c>
      <c r="W19" s="483" t="s">
        <v>306</v>
      </c>
      <c r="X19" s="485">
        <f>'2nd IA Load Pricing Results'!D20-'2nd IA Load Pricing Results'!D14</f>
        <v>0</v>
      </c>
      <c r="Y19" s="482"/>
      <c r="Z19" s="482"/>
      <c r="AA19" s="482"/>
      <c r="AB19" s="23"/>
    </row>
    <row r="20" spans="1:28" ht="63.75">
      <c r="A20" s="486" t="s">
        <v>7</v>
      </c>
      <c r="B20" s="248" t="s">
        <v>28</v>
      </c>
      <c r="C20" s="248" t="s">
        <v>27</v>
      </c>
      <c r="D20" s="248" t="s">
        <v>33</v>
      </c>
      <c r="E20" s="248" t="s">
        <v>321</v>
      </c>
      <c r="F20" s="248" t="s">
        <v>322</v>
      </c>
      <c r="G20" s="248" t="s">
        <v>321</v>
      </c>
      <c r="H20" s="248" t="s">
        <v>322</v>
      </c>
      <c r="I20" s="248" t="s">
        <v>321</v>
      </c>
      <c r="J20" s="248" t="s">
        <v>322</v>
      </c>
      <c r="K20" s="248" t="s">
        <v>321</v>
      </c>
      <c r="L20" s="248" t="s">
        <v>322</v>
      </c>
      <c r="M20" s="248" t="s">
        <v>321</v>
      </c>
      <c r="N20" s="248" t="s">
        <v>322</v>
      </c>
      <c r="O20" s="248" t="s">
        <v>321</v>
      </c>
      <c r="P20" s="248" t="s">
        <v>322</v>
      </c>
      <c r="Q20" s="248" t="s">
        <v>321</v>
      </c>
      <c r="R20" s="248" t="s">
        <v>322</v>
      </c>
      <c r="S20" s="248" t="s">
        <v>321</v>
      </c>
      <c r="T20" s="248" t="s">
        <v>322</v>
      </c>
      <c r="U20" s="248" t="s">
        <v>321</v>
      </c>
      <c r="V20" s="248" t="s">
        <v>322</v>
      </c>
      <c r="W20" s="248" t="s">
        <v>321</v>
      </c>
      <c r="X20" s="248" t="s">
        <v>322</v>
      </c>
      <c r="Y20" s="248" t="s">
        <v>307</v>
      </c>
      <c r="Z20" s="248" t="s">
        <v>308</v>
      </c>
      <c r="AA20" s="487" t="s">
        <v>309</v>
      </c>
      <c r="AB20" s="487" t="s">
        <v>310</v>
      </c>
    </row>
    <row r="21" spans="1:28" ht="12.75">
      <c r="A21" s="24" t="s">
        <v>16</v>
      </c>
      <c r="B21" s="101" t="s">
        <v>29</v>
      </c>
      <c r="C21" s="101" t="s">
        <v>35</v>
      </c>
      <c r="D21" s="101"/>
      <c r="E21" s="165">
        <f>IF(B21="MAAC",$I$5*'2nd IA Load Pricing Results'!J40/'2nd IA Load Pricing Results'!$B$14,0)</f>
        <v>0</v>
      </c>
      <c r="F21" s="488">
        <f>E21*$F$19</f>
        <v>0</v>
      </c>
      <c r="G21" s="165">
        <f>IF(C21="EMAAC",$I$6*'2nd IA Load Pricing Results'!J40/'2nd IA Load Pricing Results'!$B$15,0)</f>
        <v>290.3850794244553</v>
      </c>
      <c r="H21" s="488">
        <f>G21*$H$19</f>
        <v>5731.82585338802</v>
      </c>
      <c r="I21" s="165">
        <f>IF(C21="SWMAAC",$I$7*'2nd IA Load Pricing Results'!J40/'2nd IA Load Pricing Results'!$B$16,0)</f>
        <v>0</v>
      </c>
      <c r="J21" s="488">
        <f>I21*$J$19</f>
        <v>0</v>
      </c>
      <c r="K21" s="165">
        <f>IF(D21="PS",$I$8*'2nd IA Load Pricing Results'!J40/'2nd IA Load Pricing Results'!$J$58,0)</f>
        <v>0</v>
      </c>
      <c r="L21" s="488">
        <f>K21*$L$19</f>
        <v>0</v>
      </c>
      <c r="M21" s="165">
        <f>IF(D21="DPL",$I$9*'2nd IA Load Pricing Results'!J40/'2nd IA Load Pricing Results'!$J$50,0)</f>
        <v>0</v>
      </c>
      <c r="N21" s="488">
        <f>M21*$N$19</f>
        <v>0</v>
      </c>
      <c r="O21" s="165">
        <f>IF(D21="PEPCO",$I$10*'2nd IA Load Pricing Results'!J40/'2nd IA Load Pricing Results'!$J$56,0)</f>
        <v>0</v>
      </c>
      <c r="P21" s="488">
        <f>O21*$P$19</f>
        <v>0</v>
      </c>
      <c r="Q21" s="165">
        <f>IF(D21="ATSI",$I$11*'2nd IA Load Pricing Results'!J40/'2nd IA Load Pricing Results'!$J$43,0)</f>
        <v>0</v>
      </c>
      <c r="R21" s="488">
        <f>Q21*$R$19</f>
        <v>0</v>
      </c>
      <c r="S21" s="165">
        <f>IF(D21="COMED",$I$12*'2nd IA Load Pricing Results'!J40/'2nd IA Load Pricing Results'!$J$45,0)</f>
        <v>0</v>
      </c>
      <c r="T21" s="488">
        <f>S21*$T$19</f>
        <v>0</v>
      </c>
      <c r="U21" s="165">
        <f>IF(D21="BGE",$I$13*'2nd IA Load Pricing Results'!J40/'2nd IA Load Pricing Results'!$J$44,0)</f>
        <v>0</v>
      </c>
      <c r="V21" s="488">
        <f>U21*$V$19</f>
        <v>0</v>
      </c>
      <c r="W21" s="165">
        <f>IF(D21="PL",$I$14*'2nd IA Load Pricing Results'!J40/'2nd IA Load Pricing Results'!$J$57,0)</f>
        <v>0</v>
      </c>
      <c r="X21" s="488">
        <f>W21*$X$19</f>
        <v>0</v>
      </c>
      <c r="Y21" s="52">
        <f>MAX(E21,G21,I21,K21,M21,O21,Q21,S21,U21,W21)</f>
        <v>290.3850794244553</v>
      </c>
      <c r="Z21" s="33">
        <f>F21+H21+J21+L21+N21+P21+R21+T21+V21+X21</f>
        <v>5731.82585338802</v>
      </c>
      <c r="AA21" s="184">
        <f>Z21/'2nd IA Load Pricing Results'!J40</f>
        <v>2.0702385750344074</v>
      </c>
      <c r="AB21" s="184">
        <f aca="true" t="shared" si="2" ref="AB21:AB38">IF(Y21=0,0,Z21/Y21)</f>
        <v>19.738706495349305</v>
      </c>
    </row>
    <row r="22" spans="1:28" ht="12.75">
      <c r="A22" s="24" t="s">
        <v>30</v>
      </c>
      <c r="B22" s="101"/>
      <c r="C22" s="101"/>
      <c r="D22" s="101"/>
      <c r="E22" s="165">
        <f>IF(B22="MAAC",$I$5*'2nd IA Load Pricing Results'!J41/'2nd IA Load Pricing Results'!$B$14,0)</f>
        <v>0</v>
      </c>
      <c r="F22" s="488">
        <f>E22*$F$19</f>
        <v>0</v>
      </c>
      <c r="G22" s="165">
        <f>IF(C22="EMAAC",$I$6*'2nd IA Load Pricing Results'!J41/'2nd IA Load Pricing Results'!$B$15,0)</f>
        <v>0</v>
      </c>
      <c r="H22" s="488">
        <f>G22*$H$19</f>
        <v>0</v>
      </c>
      <c r="I22" s="165">
        <f>IF(C22="SWMAAC",$I$7*'2nd IA Load Pricing Results'!J41/'2nd IA Load Pricing Results'!$B$16,0)</f>
        <v>0</v>
      </c>
      <c r="J22" s="488">
        <f>I22*$J$19</f>
        <v>0</v>
      </c>
      <c r="K22" s="165">
        <f>IF(D22="PS",$I$8*'2nd IA Load Pricing Results'!J41/'2nd IA Load Pricing Results'!$J$58,0)</f>
        <v>0</v>
      </c>
      <c r="L22" s="488">
        <f>K22*$L$19</f>
        <v>0</v>
      </c>
      <c r="M22" s="165">
        <f>IF(D22="DPL",$I$9*'2nd IA Load Pricing Results'!J41/'2nd IA Load Pricing Results'!$J$50,0)</f>
        <v>0</v>
      </c>
      <c r="N22" s="488">
        <f aca="true" t="shared" si="3" ref="N22:N40">M22*$N$19</f>
        <v>0</v>
      </c>
      <c r="O22" s="165">
        <f>IF(D22="PEPCO",$I$10*'2nd IA Load Pricing Results'!J41/'2nd IA Load Pricing Results'!$J$56,0)</f>
        <v>0</v>
      </c>
      <c r="P22" s="488">
        <f>O22*$P$19</f>
        <v>0</v>
      </c>
      <c r="Q22" s="165">
        <f>IF(D22="ATSI",$I$11*'2nd IA Load Pricing Results'!J41/'2nd IA Load Pricing Results'!$J$43,0)</f>
        <v>0</v>
      </c>
      <c r="R22" s="488">
        <f>Q22*$R$19</f>
        <v>0</v>
      </c>
      <c r="S22" s="165">
        <f>IF(D22="COMED",$I$12*'2nd IA Load Pricing Results'!J41/'2nd IA Load Pricing Results'!$J$45,0)</f>
        <v>0</v>
      </c>
      <c r="T22" s="488">
        <f aca="true" t="shared" si="4" ref="T22:T40">S22*$T$19</f>
        <v>0</v>
      </c>
      <c r="U22" s="165">
        <f>IF(D22="BGE",$I$13*'2nd IA Load Pricing Results'!J41/'2nd IA Load Pricing Results'!$J$44,0)</f>
        <v>0</v>
      </c>
      <c r="V22" s="488">
        <f aca="true" t="shared" si="5" ref="V22:V40">U22*$V$19</f>
        <v>0</v>
      </c>
      <c r="W22" s="165">
        <f>IF(D22="PL",$I$14*'2nd IA Load Pricing Results'!J41/'2nd IA Load Pricing Results'!$J$57,0)</f>
        <v>0</v>
      </c>
      <c r="X22" s="488">
        <f aca="true" t="shared" si="6" ref="X22:X40">W22*$X$19</f>
        <v>0</v>
      </c>
      <c r="Y22" s="52">
        <f aca="true" t="shared" si="7" ref="Y22:Y40">MAX(E22,G22,I22,K22,M22,O22,Q22,S22,U22,W22)</f>
        <v>0</v>
      </c>
      <c r="Z22" s="33">
        <f aca="true" t="shared" si="8" ref="Z22:Z40">F22+H22+J22+L22+N22+P22+R22+T22+V22+X22</f>
        <v>0</v>
      </c>
      <c r="AA22" s="184">
        <f>Z22/'2nd IA Load Pricing Results'!J41</f>
        <v>0</v>
      </c>
      <c r="AB22" s="184">
        <f t="shared" si="2"/>
        <v>0</v>
      </c>
    </row>
    <row r="23" spans="1:28" ht="12.75">
      <c r="A23" s="24" t="s">
        <v>19</v>
      </c>
      <c r="B23" s="101" t="s">
        <v>24</v>
      </c>
      <c r="C23" s="101"/>
      <c r="D23" s="101"/>
      <c r="E23" s="165">
        <f>IF(B23="MAAC",$I$5*'2nd IA Load Pricing Results'!J42/'2nd IA Load Pricing Results'!$B$14,0)</f>
        <v>0</v>
      </c>
      <c r="F23" s="488">
        <f>E23*$F$19</f>
        <v>0</v>
      </c>
      <c r="G23" s="165">
        <f>IF(C23="EMAAC",$I$6*'2nd IA Load Pricing Results'!J42/'2nd IA Load Pricing Results'!$B$15,0)</f>
        <v>0</v>
      </c>
      <c r="H23" s="488">
        <f>G23*$H$19</f>
        <v>0</v>
      </c>
      <c r="I23" s="165">
        <f>IF(C23="SWMAAC",$I$7*'2nd IA Load Pricing Results'!J42/'2nd IA Load Pricing Results'!$B$16,0)</f>
        <v>0</v>
      </c>
      <c r="J23" s="488">
        <f>I23*$J$19</f>
        <v>0</v>
      </c>
      <c r="K23" s="165">
        <f>IF(D23="PS",$I$8*'2nd IA Load Pricing Results'!J42/'2nd IA Load Pricing Results'!$J$58,0)</f>
        <v>0</v>
      </c>
      <c r="L23" s="488">
        <f>K23*$L$19</f>
        <v>0</v>
      </c>
      <c r="M23" s="165">
        <f>IF(D23="DPL",$I$9*'2nd IA Load Pricing Results'!J42/'2nd IA Load Pricing Results'!$J$50,0)</f>
        <v>0</v>
      </c>
      <c r="N23" s="488">
        <f t="shared" si="3"/>
        <v>0</v>
      </c>
      <c r="O23" s="165">
        <f>IF(D23="PEPCO",$I$10*'2nd IA Load Pricing Results'!J42/'2nd IA Load Pricing Results'!$J$56,0)</f>
        <v>0</v>
      </c>
      <c r="P23" s="488">
        <f aca="true" t="shared" si="9" ref="P23:P36">O23*$P$19</f>
        <v>0</v>
      </c>
      <c r="Q23" s="165">
        <f>IF(D23="ATSI",$I$11*'2nd IA Load Pricing Results'!J42/'2nd IA Load Pricing Results'!$J$43,0)</f>
        <v>0</v>
      </c>
      <c r="R23" s="488">
        <f>Q23*$R$19</f>
        <v>0</v>
      </c>
      <c r="S23" s="165">
        <f>IF(D23="COMED",$I$12*'2nd IA Load Pricing Results'!J42/'2nd IA Load Pricing Results'!$J$45,0)</f>
        <v>0</v>
      </c>
      <c r="T23" s="488">
        <f t="shared" si="4"/>
        <v>0</v>
      </c>
      <c r="U23" s="165">
        <f>IF(D23="BGE",$I$13*'2nd IA Load Pricing Results'!J42/'2nd IA Load Pricing Results'!$J$44,0)</f>
        <v>0</v>
      </c>
      <c r="V23" s="488">
        <f t="shared" si="5"/>
        <v>0</v>
      </c>
      <c r="W23" s="165">
        <f>IF(D23="PL",$I$14*'2nd IA Load Pricing Results'!J42/'2nd IA Load Pricing Results'!$J$57,0)</f>
        <v>0</v>
      </c>
      <c r="X23" s="488">
        <f t="shared" si="6"/>
        <v>0</v>
      </c>
      <c r="Y23" s="52">
        <f t="shared" si="7"/>
        <v>0</v>
      </c>
      <c r="Z23" s="33">
        <f t="shared" si="8"/>
        <v>0</v>
      </c>
      <c r="AA23" s="184">
        <f>Z23/'2nd IA Load Pricing Results'!J42</f>
        <v>0</v>
      </c>
      <c r="AB23" s="184">
        <f t="shared" si="2"/>
        <v>0</v>
      </c>
    </row>
    <row r="24" spans="1:28" ht="12.75">
      <c r="A24" s="24" t="s">
        <v>45</v>
      </c>
      <c r="B24" s="101"/>
      <c r="C24" s="101"/>
      <c r="D24" s="101" t="s">
        <v>45</v>
      </c>
      <c r="E24" s="165">
        <f>IF(B24="MAAC",$I$5*'2nd IA Load Pricing Results'!J43/'2nd IA Load Pricing Results'!$B$14,0)</f>
        <v>0</v>
      </c>
      <c r="F24" s="488">
        <f>E24*$F$19</f>
        <v>0</v>
      </c>
      <c r="G24" s="165">
        <f>IF(C24="EMAAC",$I$6*'2nd IA Load Pricing Results'!J43/'2nd IA Load Pricing Results'!$B$15,0)</f>
        <v>0</v>
      </c>
      <c r="H24" s="488">
        <f aca="true" t="shared" si="10" ref="H24:H38">G24*$H$19</f>
        <v>0</v>
      </c>
      <c r="I24" s="165">
        <f>IF(C24="SWMAAC",$I$7*'2nd IA Load Pricing Results'!J43/'2nd IA Load Pricing Results'!$B$16,0)</f>
        <v>0</v>
      </c>
      <c r="J24" s="488">
        <f>I24*$J$19</f>
        <v>0</v>
      </c>
      <c r="K24" s="165">
        <f>IF(D24="PS",$I$8*'2nd IA Load Pricing Results'!J43/'2nd IA Load Pricing Results'!$J$58,0)</f>
        <v>0</v>
      </c>
      <c r="L24" s="488">
        <f aca="true" t="shared" si="11" ref="L24:L38">K24*$L$19</f>
        <v>0</v>
      </c>
      <c r="M24" s="165">
        <f>IF(D24="DPL",$I$9*'2nd IA Load Pricing Results'!J43/'2nd IA Load Pricing Results'!$J$50,0)</f>
        <v>0</v>
      </c>
      <c r="N24" s="488">
        <f t="shared" si="3"/>
        <v>0</v>
      </c>
      <c r="O24" s="165">
        <f>IF(D24="PEPCO",$I$10*'2nd IA Load Pricing Results'!J43/'2nd IA Load Pricing Results'!$J$56,0)</f>
        <v>0</v>
      </c>
      <c r="P24" s="488">
        <f t="shared" si="9"/>
        <v>0</v>
      </c>
      <c r="Q24" s="165">
        <f>IF(D24="ATSI",$I$11*'2nd IA Load Pricing Results'!J43/'2nd IA Load Pricing Results'!$J$43,0)</f>
        <v>4163.93061038664</v>
      </c>
      <c r="R24" s="488">
        <f>Q24*$R$19</f>
        <v>0</v>
      </c>
      <c r="S24" s="165">
        <f>IF(D24="COMED",$I$12*'2nd IA Load Pricing Results'!J43/'2nd IA Load Pricing Results'!$J$45,0)</f>
        <v>0</v>
      </c>
      <c r="T24" s="488">
        <f t="shared" si="4"/>
        <v>0</v>
      </c>
      <c r="U24" s="165">
        <f>IF(D24="BGE",$I$13*'2nd IA Load Pricing Results'!J43/'2nd IA Load Pricing Results'!$J$44,0)</f>
        <v>0</v>
      </c>
      <c r="V24" s="488">
        <f t="shared" si="5"/>
        <v>0</v>
      </c>
      <c r="W24" s="165">
        <f>IF(D24="PL",$I$14*'2nd IA Load Pricing Results'!J43/'2nd IA Load Pricing Results'!$J$57,0)</f>
        <v>0</v>
      </c>
      <c r="X24" s="488">
        <f t="shared" si="6"/>
        <v>0</v>
      </c>
      <c r="Y24" s="52">
        <f t="shared" si="7"/>
        <v>4163.93061038664</v>
      </c>
      <c r="Z24" s="33">
        <f t="shared" si="8"/>
        <v>0</v>
      </c>
      <c r="AA24" s="184">
        <f>Z24/'2nd IA Load Pricing Results'!J43</f>
        <v>0</v>
      </c>
      <c r="AB24" s="184">
        <f t="shared" si="2"/>
        <v>0</v>
      </c>
    </row>
    <row r="25" spans="1:28" ht="12.75">
      <c r="A25" s="24" t="s">
        <v>11</v>
      </c>
      <c r="B25" s="101" t="s">
        <v>29</v>
      </c>
      <c r="C25" s="101" t="s">
        <v>5</v>
      </c>
      <c r="D25" s="101" t="s">
        <v>11</v>
      </c>
      <c r="E25" s="165">
        <f>IF(B25="MAAC",$I$5*'2nd IA Load Pricing Results'!J44/'2nd IA Load Pricing Results'!$B$14,0)</f>
        <v>0</v>
      </c>
      <c r="F25" s="488">
        <f aca="true" t="shared" si="12" ref="F25:F39">E25*$F$19</f>
        <v>0</v>
      </c>
      <c r="G25" s="165">
        <f>IF(C25="EMAAC",$I$6*'2nd IA Load Pricing Results'!J44/'2nd IA Load Pricing Results'!$B$15,0)</f>
        <v>0</v>
      </c>
      <c r="H25" s="488">
        <f t="shared" si="10"/>
        <v>0</v>
      </c>
      <c r="I25" s="165">
        <f>IF(C25="SWMAAC",$I$7*'2nd IA Load Pricing Results'!J44/'2nd IA Load Pricing Results'!$B$16,0)</f>
        <v>2064.254515560178</v>
      </c>
      <c r="J25" s="488">
        <f>I25*$J$19</f>
        <v>0</v>
      </c>
      <c r="K25" s="165">
        <f>IF(D25="PS",$I$8*'2nd IA Load Pricing Results'!J44/'2nd IA Load Pricing Results'!$J$58,0)</f>
        <v>0</v>
      </c>
      <c r="L25" s="488">
        <f t="shared" si="11"/>
        <v>0</v>
      </c>
      <c r="M25" s="165">
        <f>IF(D25="DPL",$I$9*'2nd IA Load Pricing Results'!J44/'2nd IA Load Pricing Results'!$J$50,0)</f>
        <v>0</v>
      </c>
      <c r="N25" s="488">
        <f t="shared" si="3"/>
        <v>0</v>
      </c>
      <c r="O25" s="165">
        <f>IF(D25="PEPCO",$I$10*'2nd IA Load Pricing Results'!J44/'2nd IA Load Pricing Results'!$J$56,0)</f>
        <v>0</v>
      </c>
      <c r="P25" s="488">
        <f>O25*$P$19</f>
        <v>0</v>
      </c>
      <c r="Q25" s="165">
        <f>IF(D25="ATSI",$I$11*'2nd IA Load Pricing Results'!J44/'2nd IA Load Pricing Results'!$J$43,0)</f>
        <v>0</v>
      </c>
      <c r="R25" s="488">
        <f aca="true" t="shared" si="13" ref="R25:R39">Q25*$R$19</f>
        <v>0</v>
      </c>
      <c r="S25" s="165">
        <f>IF(D25="COMED",$I$12*'2nd IA Load Pricing Results'!J44/'2nd IA Load Pricing Results'!$J$45,0)</f>
        <v>0</v>
      </c>
      <c r="T25" s="488">
        <f t="shared" si="4"/>
        <v>0</v>
      </c>
      <c r="U25" s="165">
        <f>IF(D25="BGE",$I$13*'2nd IA Load Pricing Results'!J44/'2nd IA Load Pricing Results'!$J$44,0)</f>
        <v>5140.36632204743</v>
      </c>
      <c r="V25" s="488">
        <f>U25*$V$19</f>
        <v>-4578.388611357131</v>
      </c>
      <c r="W25" s="165">
        <f>IF(D25="PL",$I$14*'2nd IA Load Pricing Results'!J44/'2nd IA Load Pricing Results'!$J$57,0)</f>
        <v>0</v>
      </c>
      <c r="X25" s="488">
        <f t="shared" si="6"/>
        <v>0</v>
      </c>
      <c r="Y25" s="52">
        <f t="shared" si="7"/>
        <v>5140.36632204743</v>
      </c>
      <c r="Z25" s="33">
        <f t="shared" si="8"/>
        <v>-4578.388611357131</v>
      </c>
      <c r="AA25" s="184">
        <f>Z25/'2nd IA Load Pricing Results'!J44</f>
        <v>-0.6016938541731343</v>
      </c>
      <c r="AB25" s="184">
        <f t="shared" si="2"/>
        <v>-0.8906736066104991</v>
      </c>
    </row>
    <row r="26" spans="1:28" ht="12.75">
      <c r="A26" s="24" t="s">
        <v>20</v>
      </c>
      <c r="B26" s="101"/>
      <c r="C26" s="101"/>
      <c r="D26" s="101" t="s">
        <v>20</v>
      </c>
      <c r="E26" s="165">
        <f>IF(B26="MAAC",$I$5*'2nd IA Load Pricing Results'!J45/'2nd IA Load Pricing Results'!$B$14,0)</f>
        <v>0</v>
      </c>
      <c r="F26" s="488">
        <f t="shared" si="12"/>
        <v>0</v>
      </c>
      <c r="G26" s="165">
        <f>IF(C26="EMAAC",$I$6*'2nd IA Load Pricing Results'!J45/'2nd IA Load Pricing Results'!$B$15,0)</f>
        <v>0</v>
      </c>
      <c r="H26" s="488">
        <f t="shared" si="10"/>
        <v>0</v>
      </c>
      <c r="I26" s="165">
        <f>IF(C26="SWMAAC",$I$7*'2nd IA Load Pricing Results'!J45/'2nd IA Load Pricing Results'!$B$16,0)</f>
        <v>0</v>
      </c>
      <c r="J26" s="488">
        <f aca="true" t="shared" si="14" ref="J26:J38">I26*$J$19</f>
        <v>0</v>
      </c>
      <c r="K26" s="165">
        <f>IF(D26="PS",$I$8*'2nd IA Load Pricing Results'!J45/'2nd IA Load Pricing Results'!$J$58,0)</f>
        <v>0</v>
      </c>
      <c r="L26" s="488">
        <f t="shared" si="11"/>
        <v>0</v>
      </c>
      <c r="M26" s="165">
        <f>IF(D26="DPL",$I$9*'2nd IA Load Pricing Results'!J45/'2nd IA Load Pricing Results'!$J$50,0)</f>
        <v>0</v>
      </c>
      <c r="N26" s="488">
        <f t="shared" si="3"/>
        <v>0</v>
      </c>
      <c r="O26" s="165">
        <f>IF(D26="PEPCO",$I$10*'2nd IA Load Pricing Results'!J45/'2nd IA Load Pricing Results'!$J$56,0)</f>
        <v>0</v>
      </c>
      <c r="P26" s="488">
        <f t="shared" si="9"/>
        <v>0</v>
      </c>
      <c r="Q26" s="165">
        <f>IF(D26="ATSI",$I$11*'2nd IA Load Pricing Results'!J45/'2nd IA Load Pricing Results'!$J$43,0)</f>
        <v>0</v>
      </c>
      <c r="R26" s="488">
        <f t="shared" si="13"/>
        <v>0</v>
      </c>
      <c r="S26" s="165">
        <f>IF(D26="COMED",$I$12*'2nd IA Load Pricing Results'!J45/'2nd IA Load Pricing Results'!$J$45,0)</f>
        <v>1792.8231831689554</v>
      </c>
      <c r="T26" s="488">
        <f>S26*$T$19</f>
        <v>180844.33215743647</v>
      </c>
      <c r="U26" s="165">
        <f>IF(D26="BGE",$I$13*'2nd IA Load Pricing Results'!J45/'2nd IA Load Pricing Results'!$J$44,0)</f>
        <v>0</v>
      </c>
      <c r="V26" s="488">
        <f t="shared" si="5"/>
        <v>0</v>
      </c>
      <c r="W26" s="165">
        <f>IF(D26="PL",$I$14*'2nd IA Load Pricing Results'!J45/'2nd IA Load Pricing Results'!$J$57,0)</f>
        <v>0</v>
      </c>
      <c r="X26" s="488">
        <f t="shared" si="6"/>
        <v>0</v>
      </c>
      <c r="Y26" s="52">
        <f t="shared" si="7"/>
        <v>1792.8231831689554</v>
      </c>
      <c r="Z26" s="33">
        <f t="shared" si="8"/>
        <v>180844.33215743647</v>
      </c>
      <c r="AA26" s="184">
        <f>Z26/'2nd IA Load Pricing Results'!J45</f>
        <v>7.177324153430145</v>
      </c>
      <c r="AB26" s="184">
        <f t="shared" si="2"/>
        <v>100.8712592826806</v>
      </c>
    </row>
    <row r="27" spans="1:28" ht="12.75">
      <c r="A27" s="24" t="s">
        <v>21</v>
      </c>
      <c r="B27" s="101"/>
      <c r="C27" s="101"/>
      <c r="D27" s="101"/>
      <c r="E27" s="165">
        <f>IF(B27="MAAC",$I$5*'2nd IA Load Pricing Results'!J46/'2nd IA Load Pricing Results'!$B$14,0)</f>
        <v>0</v>
      </c>
      <c r="F27" s="488">
        <f t="shared" si="12"/>
        <v>0</v>
      </c>
      <c r="G27" s="165">
        <f>IF(C27="EMAAC",$I$6*'2nd IA Load Pricing Results'!J46/'2nd IA Load Pricing Results'!$B$15,0)</f>
        <v>0</v>
      </c>
      <c r="H27" s="488">
        <f t="shared" si="10"/>
        <v>0</v>
      </c>
      <c r="I27" s="165">
        <f>IF(C27="SWMAAC",$I$7*'2nd IA Load Pricing Results'!J46/'2nd IA Load Pricing Results'!$B$16,0)</f>
        <v>0</v>
      </c>
      <c r="J27" s="488">
        <f>I27*$J$19</f>
        <v>0</v>
      </c>
      <c r="K27" s="165">
        <f>IF(D27="PS",$I$8*'2nd IA Load Pricing Results'!J46/'2nd IA Load Pricing Results'!$J$58,0)</f>
        <v>0</v>
      </c>
      <c r="L27" s="488">
        <f t="shared" si="11"/>
        <v>0</v>
      </c>
      <c r="M27" s="165">
        <f>IF(D27="DPL",$I$9*'2nd IA Load Pricing Results'!J46/'2nd IA Load Pricing Results'!$J$50,0)</f>
        <v>0</v>
      </c>
      <c r="N27" s="488">
        <f t="shared" si="3"/>
        <v>0</v>
      </c>
      <c r="O27" s="165">
        <f>IF(D27="PEPCO",$I$10*'2nd IA Load Pricing Results'!J46/'2nd IA Load Pricing Results'!$J$56,0)</f>
        <v>0</v>
      </c>
      <c r="P27" s="488">
        <f t="shared" si="9"/>
        <v>0</v>
      </c>
      <c r="Q27" s="165">
        <f>IF(D27="ATSI",$I$11*'2nd IA Load Pricing Results'!J46/'2nd IA Load Pricing Results'!$J$43,0)</f>
        <v>0</v>
      </c>
      <c r="R27" s="488">
        <f t="shared" si="13"/>
        <v>0</v>
      </c>
      <c r="S27" s="165">
        <f>IF(D27="COMED",$I$12*'2nd IA Load Pricing Results'!J46/'2nd IA Load Pricing Results'!$J$45,0)</f>
        <v>0</v>
      </c>
      <c r="T27" s="488">
        <f t="shared" si="4"/>
        <v>0</v>
      </c>
      <c r="U27" s="165">
        <f>IF(D27="BGE",$I$13*'2nd IA Load Pricing Results'!J46/'2nd IA Load Pricing Results'!$J$44,0)</f>
        <v>0</v>
      </c>
      <c r="V27" s="488">
        <f t="shared" si="5"/>
        <v>0</v>
      </c>
      <c r="W27" s="165">
        <f>IF(D27="PL",$I$14*'2nd IA Load Pricing Results'!J46/'2nd IA Load Pricing Results'!$J$57,0)</f>
        <v>0</v>
      </c>
      <c r="X27" s="488">
        <f t="shared" si="6"/>
        <v>0</v>
      </c>
      <c r="Y27" s="52">
        <f t="shared" si="7"/>
        <v>0</v>
      </c>
      <c r="Z27" s="33">
        <f t="shared" si="8"/>
        <v>0</v>
      </c>
      <c r="AA27" s="184">
        <f>Z27/'2nd IA Load Pricing Results'!J46</f>
        <v>0</v>
      </c>
      <c r="AB27" s="184">
        <f t="shared" si="2"/>
        <v>0</v>
      </c>
    </row>
    <row r="28" spans="1:28" ht="12.75">
      <c r="A28" s="24" t="s">
        <v>55</v>
      </c>
      <c r="B28" s="101"/>
      <c r="C28" s="101"/>
      <c r="D28" s="101"/>
      <c r="E28" s="165">
        <f>IF(B28="MAAC",$I$5*'2nd IA Load Pricing Results'!J47/'2nd IA Load Pricing Results'!$B$14,0)</f>
        <v>0</v>
      </c>
      <c r="F28" s="488">
        <f>E28*$F$19</f>
        <v>0</v>
      </c>
      <c r="G28" s="165">
        <f>IF(C28="EMAAC",$I$6*'2nd IA Load Pricing Results'!J47/'2nd IA Load Pricing Results'!$B$15,0)</f>
        <v>0</v>
      </c>
      <c r="H28" s="488">
        <f t="shared" si="10"/>
        <v>0</v>
      </c>
      <c r="I28" s="165">
        <f>IF(C28="SWMAAC",$I$7*'2nd IA Load Pricing Results'!J47/'2nd IA Load Pricing Results'!$B$16,0)</f>
        <v>0</v>
      </c>
      <c r="J28" s="488">
        <f>I28*$J$19</f>
        <v>0</v>
      </c>
      <c r="K28" s="165">
        <f>IF(D28="PS",$I$8*'2nd IA Load Pricing Results'!J47/'2nd IA Load Pricing Results'!$J$58,0)</f>
        <v>0</v>
      </c>
      <c r="L28" s="488">
        <f t="shared" si="11"/>
        <v>0</v>
      </c>
      <c r="M28" s="165">
        <f>IF(D28="DPL",$I$9*'2nd IA Load Pricing Results'!J47/'2nd IA Load Pricing Results'!$J$50,0)</f>
        <v>0</v>
      </c>
      <c r="N28" s="488">
        <f t="shared" si="3"/>
        <v>0</v>
      </c>
      <c r="O28" s="165">
        <f>IF(D28="PEPCO",$I$10*'2nd IA Load Pricing Results'!J47/'2nd IA Load Pricing Results'!$J$56,0)</f>
        <v>0</v>
      </c>
      <c r="P28" s="488">
        <f t="shared" si="9"/>
        <v>0</v>
      </c>
      <c r="Q28" s="165">
        <f>IF(D28="ATSI",$I$11*'2nd IA Load Pricing Results'!J47/'2nd IA Load Pricing Results'!$J$43,0)</f>
        <v>0</v>
      </c>
      <c r="R28" s="488">
        <f t="shared" si="13"/>
        <v>0</v>
      </c>
      <c r="S28" s="165">
        <f>IF(D28="COMED",$I$12*'2nd IA Load Pricing Results'!J47/'2nd IA Load Pricing Results'!$J$45,0)</f>
        <v>0</v>
      </c>
      <c r="T28" s="488">
        <f t="shared" si="4"/>
        <v>0</v>
      </c>
      <c r="U28" s="165">
        <f>IF(D28="BGE",$I$13*'2nd IA Load Pricing Results'!J47/'2nd IA Load Pricing Results'!$J$44,0)</f>
        <v>0</v>
      </c>
      <c r="V28" s="488">
        <f t="shared" si="5"/>
        <v>0</v>
      </c>
      <c r="W28" s="165">
        <f>IF(D28="PL",$I$14*'2nd IA Load Pricing Results'!J47/'2nd IA Load Pricing Results'!$J$57,0)</f>
        <v>0</v>
      </c>
      <c r="X28" s="488">
        <f t="shared" si="6"/>
        <v>0</v>
      </c>
      <c r="Y28" s="52">
        <f t="shared" si="7"/>
        <v>0</v>
      </c>
      <c r="Z28" s="33">
        <f t="shared" si="8"/>
        <v>0</v>
      </c>
      <c r="AA28" s="184">
        <f>Z28/'2nd IA Load Pricing Results'!J47</f>
        <v>0</v>
      </c>
      <c r="AB28" s="184">
        <f>IF(Y28=0,0,Z28/Y28)</f>
        <v>0</v>
      </c>
    </row>
    <row r="29" spans="1:28" ht="12.75">
      <c r="A29" s="24" t="s">
        <v>44</v>
      </c>
      <c r="B29" s="101"/>
      <c r="C29" s="101"/>
      <c r="D29" s="101"/>
      <c r="E29" s="165">
        <f>IF(B29="MAAC",$I$5*'2nd IA Load Pricing Results'!J48/'2nd IA Load Pricing Results'!$B$14,0)</f>
        <v>0</v>
      </c>
      <c r="F29" s="488">
        <f>E29*$F$19</f>
        <v>0</v>
      </c>
      <c r="G29" s="165">
        <f>IF(C29="EMAAC",$I$6*'2nd IA Load Pricing Results'!J48/'2nd IA Load Pricing Results'!$B$15,0)</f>
        <v>0</v>
      </c>
      <c r="H29" s="488">
        <f t="shared" si="10"/>
        <v>0</v>
      </c>
      <c r="I29" s="165">
        <f>IF(C29="SWMAAC",$I$7*'2nd IA Load Pricing Results'!J48/'2nd IA Load Pricing Results'!$B$16,0)</f>
        <v>0</v>
      </c>
      <c r="J29" s="488">
        <f>I29*$J$19</f>
        <v>0</v>
      </c>
      <c r="K29" s="165">
        <f>IF(D29="PS",$I$8*'2nd IA Load Pricing Results'!J48/'2nd IA Load Pricing Results'!$J$58,0)</f>
        <v>0</v>
      </c>
      <c r="L29" s="488">
        <f t="shared" si="11"/>
        <v>0</v>
      </c>
      <c r="M29" s="165">
        <f>IF(D29="DPL",$I$9*'2nd IA Load Pricing Results'!J48/'2nd IA Load Pricing Results'!$J$50,0)</f>
        <v>0</v>
      </c>
      <c r="N29" s="488">
        <f t="shared" si="3"/>
        <v>0</v>
      </c>
      <c r="O29" s="165">
        <f>IF(D29="PEPCO",$I$10*'2nd IA Load Pricing Results'!J48/'2nd IA Load Pricing Results'!$J$56,0)</f>
        <v>0</v>
      </c>
      <c r="P29" s="488">
        <f t="shared" si="9"/>
        <v>0</v>
      </c>
      <c r="Q29" s="165">
        <f>IF(D29="ATSI",$I$11*'2nd IA Load Pricing Results'!J48/'2nd IA Load Pricing Results'!$J$43,0)</f>
        <v>0</v>
      </c>
      <c r="R29" s="488">
        <f t="shared" si="13"/>
        <v>0</v>
      </c>
      <c r="S29" s="165">
        <f>IF(D29="COMED",$I$12*'2nd IA Load Pricing Results'!J48/'2nd IA Load Pricing Results'!$J$45,0)</f>
        <v>0</v>
      </c>
      <c r="T29" s="488">
        <f t="shared" si="4"/>
        <v>0</v>
      </c>
      <c r="U29" s="165">
        <f>IF(D29="BGE",$I$13*'2nd IA Load Pricing Results'!J48/'2nd IA Load Pricing Results'!$J$44,0)</f>
        <v>0</v>
      </c>
      <c r="V29" s="488">
        <f t="shared" si="5"/>
        <v>0</v>
      </c>
      <c r="W29" s="165">
        <f>IF(D29="PL",$I$14*'2nd IA Load Pricing Results'!J48/'2nd IA Load Pricing Results'!$J$57,0)</f>
        <v>0</v>
      </c>
      <c r="X29" s="488">
        <f t="shared" si="6"/>
        <v>0</v>
      </c>
      <c r="Y29" s="52">
        <f t="shared" si="7"/>
        <v>0</v>
      </c>
      <c r="Z29" s="33">
        <f t="shared" si="8"/>
        <v>0</v>
      </c>
      <c r="AA29" s="184">
        <f>Z29/'2nd IA Load Pricing Results'!J48</f>
        <v>0</v>
      </c>
      <c r="AB29" s="184">
        <f t="shared" si="2"/>
        <v>0</v>
      </c>
    </row>
    <row r="30" spans="1:28" ht="12.75">
      <c r="A30" s="24" t="s">
        <v>31</v>
      </c>
      <c r="B30" s="101"/>
      <c r="C30" s="101"/>
      <c r="D30" s="101"/>
      <c r="E30" s="165">
        <f>IF(B30="MAAC",$I$5*'2nd IA Load Pricing Results'!J49/'2nd IA Load Pricing Results'!$B$14,0)</f>
        <v>0</v>
      </c>
      <c r="F30" s="488">
        <f t="shared" si="12"/>
        <v>0</v>
      </c>
      <c r="G30" s="165">
        <f>IF(C30="EMAAC",$I$6*'2nd IA Load Pricing Results'!J49/'2nd IA Load Pricing Results'!$B$15,0)</f>
        <v>0</v>
      </c>
      <c r="H30" s="488">
        <f t="shared" si="10"/>
        <v>0</v>
      </c>
      <c r="I30" s="165">
        <f>IF(C30="SWMAAC",$I$7*'2nd IA Load Pricing Results'!J49/'2nd IA Load Pricing Results'!$B$16,0)</f>
        <v>0</v>
      </c>
      <c r="J30" s="488">
        <f>I30*$J$19</f>
        <v>0</v>
      </c>
      <c r="K30" s="165">
        <f>IF(D30="PS",$I$8*'2nd IA Load Pricing Results'!J49/'2nd IA Load Pricing Results'!$J$58,0)</f>
        <v>0</v>
      </c>
      <c r="L30" s="488">
        <f t="shared" si="11"/>
        <v>0</v>
      </c>
      <c r="M30" s="165">
        <f>IF(D30="DPL",$I$9*'2nd IA Load Pricing Results'!J49/'2nd IA Load Pricing Results'!$J$50,0)</f>
        <v>0</v>
      </c>
      <c r="N30" s="488">
        <f t="shared" si="3"/>
        <v>0</v>
      </c>
      <c r="O30" s="165">
        <f>IF(D30="PEPCO",$I$10*'2nd IA Load Pricing Results'!J49/'2nd IA Load Pricing Results'!$J$56,0)</f>
        <v>0</v>
      </c>
      <c r="P30" s="488">
        <f t="shared" si="9"/>
        <v>0</v>
      </c>
      <c r="Q30" s="165">
        <f>IF(D30="ATSI",$I$11*'2nd IA Load Pricing Results'!J49/'2nd IA Load Pricing Results'!$J$43,0)</f>
        <v>0</v>
      </c>
      <c r="R30" s="488">
        <f t="shared" si="13"/>
        <v>0</v>
      </c>
      <c r="S30" s="165">
        <f>IF(D30="COMED",$I$12*'2nd IA Load Pricing Results'!J49/'2nd IA Load Pricing Results'!$J$45,0)</f>
        <v>0</v>
      </c>
      <c r="T30" s="488">
        <f t="shared" si="4"/>
        <v>0</v>
      </c>
      <c r="U30" s="165">
        <f>IF(D30="BGE",$I$13*'2nd IA Load Pricing Results'!J49/'2nd IA Load Pricing Results'!$J$44,0)</f>
        <v>0</v>
      </c>
      <c r="V30" s="488">
        <f t="shared" si="5"/>
        <v>0</v>
      </c>
      <c r="W30" s="165">
        <f>IF(D30="PL",$I$14*'2nd IA Load Pricing Results'!J49/'2nd IA Load Pricing Results'!$J$57,0)</f>
        <v>0</v>
      </c>
      <c r="X30" s="488">
        <f t="shared" si="6"/>
        <v>0</v>
      </c>
      <c r="Y30" s="52">
        <f t="shared" si="7"/>
        <v>0</v>
      </c>
      <c r="Z30" s="33">
        <f t="shared" si="8"/>
        <v>0</v>
      </c>
      <c r="AA30" s="184">
        <f>Z30/'2nd IA Load Pricing Results'!J49</f>
        <v>0</v>
      </c>
      <c r="AB30" s="184">
        <f t="shared" si="2"/>
        <v>0</v>
      </c>
    </row>
    <row r="31" spans="1:28" ht="12.75">
      <c r="A31" s="24" t="s">
        <v>17</v>
      </c>
      <c r="B31" s="101" t="s">
        <v>29</v>
      </c>
      <c r="C31" s="101" t="s">
        <v>35</v>
      </c>
      <c r="D31" s="101" t="s">
        <v>17</v>
      </c>
      <c r="E31" s="165">
        <f>IF(B31="MAAC",$I$5*'2nd IA Load Pricing Results'!J50/'2nd IA Load Pricing Results'!$B$14,0)</f>
        <v>0</v>
      </c>
      <c r="F31" s="488">
        <f t="shared" si="12"/>
        <v>0</v>
      </c>
      <c r="G31" s="165">
        <f>IF(C31="EMAAC",$I$6*'2nd IA Load Pricing Results'!J50/'2nd IA Load Pricing Results'!$B$15,0)</f>
        <v>466.2677230317124</v>
      </c>
      <c r="H31" s="488">
        <f>G31*$H$19</f>
        <v>9203.521733177793</v>
      </c>
      <c r="I31" s="165">
        <f>IF(C31="SWMAAC",$I$7*'2nd IA Load Pricing Results'!J50/'2nd IA Load Pricing Results'!$B$16,0)</f>
        <v>0</v>
      </c>
      <c r="J31" s="488">
        <f t="shared" si="14"/>
        <v>0</v>
      </c>
      <c r="K31" s="165">
        <f>IF(D31="PS",$I$8*'2nd IA Load Pricing Results'!J50/'2nd IA Load Pricing Results'!$J$58,0)</f>
        <v>0</v>
      </c>
      <c r="L31" s="488">
        <f t="shared" si="11"/>
        <v>0</v>
      </c>
      <c r="M31" s="165">
        <f>IF(D31="DPL",$I$9*'2nd IA Load Pricing Results'!J50/'2nd IA Load Pricing Results'!$J$50,0)</f>
        <v>0</v>
      </c>
      <c r="N31" s="488">
        <f t="shared" si="3"/>
        <v>0</v>
      </c>
      <c r="O31" s="165">
        <f>IF(D31="PEPCO",$I$10*'2nd IA Load Pricing Results'!J50/'2nd IA Load Pricing Results'!$J$56,0)</f>
        <v>0</v>
      </c>
      <c r="P31" s="488">
        <f t="shared" si="9"/>
        <v>0</v>
      </c>
      <c r="Q31" s="165">
        <f>IF(D31="ATSI",$I$11*'2nd IA Load Pricing Results'!J50/'2nd IA Load Pricing Results'!$J$43,0)</f>
        <v>0</v>
      </c>
      <c r="R31" s="488">
        <f t="shared" si="13"/>
        <v>0</v>
      </c>
      <c r="S31" s="165">
        <f>IF(D31="COMED",$I$12*'2nd IA Load Pricing Results'!J50/'2nd IA Load Pricing Results'!$J$45,0)</f>
        <v>0</v>
      </c>
      <c r="T31" s="488">
        <f t="shared" si="4"/>
        <v>0</v>
      </c>
      <c r="U31" s="165">
        <f>IF(D31="BGE",$I$13*'2nd IA Load Pricing Results'!J50/'2nd IA Load Pricing Results'!$J$44,0)</f>
        <v>0</v>
      </c>
      <c r="V31" s="488">
        <f t="shared" si="5"/>
        <v>0</v>
      </c>
      <c r="W31" s="165">
        <f>IF(D31="PL",$I$14*'2nd IA Load Pricing Results'!J50/'2nd IA Load Pricing Results'!$J$57,0)</f>
        <v>0</v>
      </c>
      <c r="X31" s="488">
        <f t="shared" si="6"/>
        <v>0</v>
      </c>
      <c r="Y31" s="52">
        <f t="shared" si="7"/>
        <v>466.2677230317124</v>
      </c>
      <c r="Z31" s="33">
        <f t="shared" si="8"/>
        <v>9203.521733177793</v>
      </c>
      <c r="AA31" s="184">
        <f>Z31/'2nd IA Load Pricing Results'!J50</f>
        <v>2.0702385750344074</v>
      </c>
      <c r="AB31" s="184">
        <f t="shared" si="2"/>
        <v>19.738706495349305</v>
      </c>
    </row>
    <row r="32" spans="1:28" ht="12.75">
      <c r="A32" s="24" t="s">
        <v>131</v>
      </c>
      <c r="B32" s="101"/>
      <c r="C32" s="101"/>
      <c r="D32" s="101"/>
      <c r="E32" s="165">
        <f>IF(B32="MAAC",$I$5*'2nd IA Load Pricing Results'!J51/'2nd IA Load Pricing Results'!$B$14,0)</f>
        <v>0</v>
      </c>
      <c r="F32" s="488">
        <f>E32*$F$19</f>
        <v>0</v>
      </c>
      <c r="G32" s="165">
        <f>IF(C32="EMAAC",$I$6*'2nd IA Load Pricing Results'!J51/'2nd IA Load Pricing Results'!$B$15,0)</f>
        <v>0</v>
      </c>
      <c r="H32" s="488">
        <f t="shared" si="10"/>
        <v>0</v>
      </c>
      <c r="I32" s="165">
        <f>IF(C32="SWMAAC",$I$7*'2nd IA Load Pricing Results'!J51/'2nd IA Load Pricing Results'!$B$16,0)</f>
        <v>0</v>
      </c>
      <c r="J32" s="488">
        <f>I32*$J$19</f>
        <v>0</v>
      </c>
      <c r="K32" s="165">
        <f>IF(D32="PS",$I$8*'2nd IA Load Pricing Results'!J51/'2nd IA Load Pricing Results'!$J$58,0)</f>
        <v>0</v>
      </c>
      <c r="L32" s="488">
        <f>K32*$L$19</f>
        <v>0</v>
      </c>
      <c r="M32" s="165">
        <f>IF(D32="DPL",$I$9*'2nd IA Load Pricing Results'!J51/'2nd IA Load Pricing Results'!$J$50,0)</f>
        <v>0</v>
      </c>
      <c r="N32" s="488">
        <f t="shared" si="3"/>
        <v>0</v>
      </c>
      <c r="O32" s="165">
        <f>IF(D32="PEPCO",$I$10*'2nd IA Load Pricing Results'!J51/'2nd IA Load Pricing Results'!$J$56,0)</f>
        <v>0</v>
      </c>
      <c r="P32" s="488">
        <f>O32*$P$19</f>
        <v>0</v>
      </c>
      <c r="Q32" s="165">
        <f>IF(D32="ATSI",$I$11*'2nd IA Load Pricing Results'!J51/'2nd IA Load Pricing Results'!$J$43,0)</f>
        <v>0</v>
      </c>
      <c r="R32" s="488">
        <f>Q32*$R$19</f>
        <v>0</v>
      </c>
      <c r="S32" s="165">
        <f>IF(D32="COMED",$I$12*'2nd IA Load Pricing Results'!J51/'2nd IA Load Pricing Results'!$J$45,0)</f>
        <v>0</v>
      </c>
      <c r="T32" s="488">
        <f t="shared" si="4"/>
        <v>0</v>
      </c>
      <c r="U32" s="165">
        <f>IF(D32="BGE",$I$13*'2nd IA Load Pricing Results'!J51/'2nd IA Load Pricing Results'!$J$44,0)</f>
        <v>0</v>
      </c>
      <c r="V32" s="488">
        <f t="shared" si="5"/>
        <v>0</v>
      </c>
      <c r="W32" s="165">
        <f>IF(D32="PL",$I$14*'2nd IA Load Pricing Results'!J51/'2nd IA Load Pricing Results'!$J$57,0)</f>
        <v>0</v>
      </c>
      <c r="X32" s="488">
        <f t="shared" si="6"/>
        <v>0</v>
      </c>
      <c r="Y32" s="52">
        <f t="shared" si="7"/>
        <v>0</v>
      </c>
      <c r="Z32" s="33">
        <f t="shared" si="8"/>
        <v>0</v>
      </c>
      <c r="AA32" s="184">
        <f>Z32/'2nd IA Load Pricing Results'!J51</f>
        <v>0</v>
      </c>
      <c r="AB32" s="184">
        <f>IF(Y32=0,0,Z32/Y32)</f>
        <v>0</v>
      </c>
    </row>
    <row r="33" spans="1:28" ht="12.75">
      <c r="A33" s="24" t="s">
        <v>12</v>
      </c>
      <c r="B33" s="101" t="s">
        <v>29</v>
      </c>
      <c r="C33" s="101" t="s">
        <v>35</v>
      </c>
      <c r="D33" s="101"/>
      <c r="E33" s="165">
        <f>IF(B33="MAAC",$I$5*'2nd IA Load Pricing Results'!J52/'2nd IA Load Pricing Results'!$B$14,0)</f>
        <v>0</v>
      </c>
      <c r="F33" s="488">
        <f t="shared" si="12"/>
        <v>0</v>
      </c>
      <c r="G33" s="165">
        <f>IF(C33="EMAAC",$I$6*'2nd IA Load Pricing Results'!J52/'2nd IA Load Pricing Results'!$B$15,0)</f>
        <v>701.1887592723797</v>
      </c>
      <c r="H33" s="488">
        <f>G33*$H$19</f>
        <v>13840.559117115641</v>
      </c>
      <c r="I33" s="165">
        <f>IF(C33="SWMAAC",$I$7*'2nd IA Load Pricing Results'!J52/'2nd IA Load Pricing Results'!$B$16,0)</f>
        <v>0</v>
      </c>
      <c r="J33" s="488">
        <f t="shared" si="14"/>
        <v>0</v>
      </c>
      <c r="K33" s="165">
        <f>IF(D33="PS",$I$8*'2nd IA Load Pricing Results'!J52/'2nd IA Load Pricing Results'!$J$58,0)</f>
        <v>0</v>
      </c>
      <c r="L33" s="488">
        <f t="shared" si="11"/>
        <v>0</v>
      </c>
      <c r="M33" s="165">
        <f>IF(D33="DPL",$I$9*'2nd IA Load Pricing Results'!J52/'2nd IA Load Pricing Results'!$J$50,0)</f>
        <v>0</v>
      </c>
      <c r="N33" s="488">
        <f t="shared" si="3"/>
        <v>0</v>
      </c>
      <c r="O33" s="165">
        <f>IF(D33="PEPCO",$I$10*'2nd IA Load Pricing Results'!J52/'2nd IA Load Pricing Results'!$J$56,0)</f>
        <v>0</v>
      </c>
      <c r="P33" s="488">
        <f t="shared" si="9"/>
        <v>0</v>
      </c>
      <c r="Q33" s="165">
        <f>IF(D33="ATSI",$I$11*'2nd IA Load Pricing Results'!J52/'2nd IA Load Pricing Results'!$J$43,0)</f>
        <v>0</v>
      </c>
      <c r="R33" s="488">
        <f t="shared" si="13"/>
        <v>0</v>
      </c>
      <c r="S33" s="165">
        <f>IF(D33="COMED",$I$12*'2nd IA Load Pricing Results'!J52/'2nd IA Load Pricing Results'!$J$45,0)</f>
        <v>0</v>
      </c>
      <c r="T33" s="488">
        <f t="shared" si="4"/>
        <v>0</v>
      </c>
      <c r="U33" s="165">
        <f>IF(D33="BGE",$I$13*'2nd IA Load Pricing Results'!J52/'2nd IA Load Pricing Results'!$J$44,0)</f>
        <v>0</v>
      </c>
      <c r="V33" s="488">
        <f t="shared" si="5"/>
        <v>0</v>
      </c>
      <c r="W33" s="165">
        <f>IF(D33="PL",$I$14*'2nd IA Load Pricing Results'!J52/'2nd IA Load Pricing Results'!$J$57,0)</f>
        <v>0</v>
      </c>
      <c r="X33" s="488">
        <f>W33*$X$19</f>
        <v>0</v>
      </c>
      <c r="Y33" s="52">
        <f t="shared" si="7"/>
        <v>701.1887592723797</v>
      </c>
      <c r="Z33" s="33">
        <f t="shared" si="8"/>
        <v>13840.559117115641</v>
      </c>
      <c r="AA33" s="184">
        <f>Z33/'2nd IA Load Pricing Results'!J52</f>
        <v>2.0702385750344074</v>
      </c>
      <c r="AB33" s="184">
        <f t="shared" si="2"/>
        <v>19.738706495349305</v>
      </c>
    </row>
    <row r="34" spans="1:28" ht="12.75">
      <c r="A34" s="24" t="s">
        <v>13</v>
      </c>
      <c r="B34" s="101" t="s">
        <v>29</v>
      </c>
      <c r="C34" s="101"/>
      <c r="D34" s="101"/>
      <c r="E34" s="165">
        <f>IF(B34="MAAC",$I$5*'2nd IA Load Pricing Results'!J53/'2nd IA Load Pricing Results'!$B$14,0)</f>
        <v>0</v>
      </c>
      <c r="F34" s="488">
        <f t="shared" si="12"/>
        <v>0</v>
      </c>
      <c r="G34" s="165">
        <f>IF(C34="EMAAC",$I$6*'2nd IA Load Pricing Results'!J53/'2nd IA Load Pricing Results'!$B$15,0)</f>
        <v>0</v>
      </c>
      <c r="H34" s="488">
        <f>G34*$H$19</f>
        <v>0</v>
      </c>
      <c r="I34" s="165">
        <f>IF(C34="SWMAAC",$I$7*'2nd IA Load Pricing Results'!J53/'2nd IA Load Pricing Results'!$B$16,0)</f>
        <v>0</v>
      </c>
      <c r="J34" s="488">
        <f t="shared" si="14"/>
        <v>0</v>
      </c>
      <c r="K34" s="165">
        <f>IF(D34="PS",$I$8*'2nd IA Load Pricing Results'!J53/'2nd IA Load Pricing Results'!$J$58,0)</f>
        <v>0</v>
      </c>
      <c r="L34" s="488">
        <f t="shared" si="11"/>
        <v>0</v>
      </c>
      <c r="M34" s="165">
        <f>IF(D34="DPL",$I$9*'2nd IA Load Pricing Results'!J53/'2nd IA Load Pricing Results'!$J$50,0)</f>
        <v>0</v>
      </c>
      <c r="N34" s="488">
        <f t="shared" si="3"/>
        <v>0</v>
      </c>
      <c r="O34" s="165">
        <f>IF(D34="PEPCO",$I$10*'2nd IA Load Pricing Results'!J53/'2nd IA Load Pricing Results'!$J$56,0)</f>
        <v>0</v>
      </c>
      <c r="P34" s="488">
        <f t="shared" si="9"/>
        <v>0</v>
      </c>
      <c r="Q34" s="165">
        <f>IF(D34="ATSI",$I$11*'2nd IA Load Pricing Results'!J53/'2nd IA Load Pricing Results'!$J$43,0)</f>
        <v>0</v>
      </c>
      <c r="R34" s="488">
        <f t="shared" si="13"/>
        <v>0</v>
      </c>
      <c r="S34" s="165">
        <f>IF(D34="COMED",$I$12*'2nd IA Load Pricing Results'!J53/'2nd IA Load Pricing Results'!$J$45,0)</f>
        <v>0</v>
      </c>
      <c r="T34" s="488">
        <f t="shared" si="4"/>
        <v>0</v>
      </c>
      <c r="U34" s="165">
        <f>IF(D34="BGE",$I$13*'2nd IA Load Pricing Results'!J53/'2nd IA Load Pricing Results'!$J$44,0)</f>
        <v>0</v>
      </c>
      <c r="V34" s="488">
        <f t="shared" si="5"/>
        <v>0</v>
      </c>
      <c r="W34" s="165">
        <f>IF(D34="PL",$I$14*'2nd IA Load Pricing Results'!J53/'2nd IA Load Pricing Results'!$J$57,0)</f>
        <v>0</v>
      </c>
      <c r="X34" s="488">
        <f t="shared" si="6"/>
        <v>0</v>
      </c>
      <c r="Y34" s="52">
        <f t="shared" si="7"/>
        <v>0</v>
      </c>
      <c r="Z34" s="33">
        <f t="shared" si="8"/>
        <v>0</v>
      </c>
      <c r="AA34" s="184">
        <f>Z34/'2nd IA Load Pricing Results'!J53</f>
        <v>0</v>
      </c>
      <c r="AB34" s="184">
        <f t="shared" si="2"/>
        <v>0</v>
      </c>
    </row>
    <row r="35" spans="1:28" ht="12.75">
      <c r="A35" s="24" t="s">
        <v>9</v>
      </c>
      <c r="B35" s="101" t="s">
        <v>29</v>
      </c>
      <c r="C35" s="101" t="s">
        <v>35</v>
      </c>
      <c r="D35" s="101"/>
      <c r="E35" s="165">
        <f>IF(B35="MAAC",$I$5*'2nd IA Load Pricing Results'!J54/'2nd IA Load Pricing Results'!$B$14,0)</f>
        <v>0</v>
      </c>
      <c r="F35" s="488">
        <f t="shared" si="12"/>
        <v>0</v>
      </c>
      <c r="G35" s="165">
        <f>IF(C35="EMAAC",$I$6*'2nd IA Load Pricing Results'!J54/'2nd IA Load Pricing Results'!$B$15,0)</f>
        <v>1032.2474703649461</v>
      </c>
      <c r="H35" s="488">
        <f>G35*$H$19</f>
        <v>20375.22984810045</v>
      </c>
      <c r="I35" s="165">
        <f>IF(C35="SWMAAC",$I$7*'2nd IA Load Pricing Results'!J54/'2nd IA Load Pricing Results'!$B$16,0)</f>
        <v>0</v>
      </c>
      <c r="J35" s="488">
        <f t="shared" si="14"/>
        <v>0</v>
      </c>
      <c r="K35" s="165">
        <f>IF(D35="PS",$I$8*'2nd IA Load Pricing Results'!J54/'2nd IA Load Pricing Results'!$J$58,0)</f>
        <v>0</v>
      </c>
      <c r="L35" s="488">
        <f t="shared" si="11"/>
        <v>0</v>
      </c>
      <c r="M35" s="165">
        <f>IF(D35="DPL",$I$9*'2nd IA Load Pricing Results'!J54/'2nd IA Load Pricing Results'!$J$50,0)</f>
        <v>0</v>
      </c>
      <c r="N35" s="488">
        <f t="shared" si="3"/>
        <v>0</v>
      </c>
      <c r="O35" s="165">
        <f>IF(D35="PEPCO",$I$10*'2nd IA Load Pricing Results'!J54/'2nd IA Load Pricing Results'!$J$56,0)</f>
        <v>0</v>
      </c>
      <c r="P35" s="488">
        <f t="shared" si="9"/>
        <v>0</v>
      </c>
      <c r="Q35" s="165">
        <f>IF(D35="ATSI",$I$11*'2nd IA Load Pricing Results'!J54/'2nd IA Load Pricing Results'!$J$43,0)</f>
        <v>0</v>
      </c>
      <c r="R35" s="488">
        <f t="shared" si="13"/>
        <v>0</v>
      </c>
      <c r="S35" s="165">
        <f>IF(D35="COMED",$I$12*'2nd IA Load Pricing Results'!J54/'2nd IA Load Pricing Results'!$J$45,0)</f>
        <v>0</v>
      </c>
      <c r="T35" s="488">
        <f t="shared" si="4"/>
        <v>0</v>
      </c>
      <c r="U35" s="165">
        <f>IF(D35="BGE",$I$13*'2nd IA Load Pricing Results'!J54/'2nd IA Load Pricing Results'!$J$44,0)</f>
        <v>0</v>
      </c>
      <c r="V35" s="488">
        <f t="shared" si="5"/>
        <v>0</v>
      </c>
      <c r="W35" s="165">
        <f>IF(D35="PL",$I$14*'2nd IA Load Pricing Results'!J54/'2nd IA Load Pricing Results'!$J$57,0)</f>
        <v>0</v>
      </c>
      <c r="X35" s="488">
        <f t="shared" si="6"/>
        <v>0</v>
      </c>
      <c r="Y35" s="52">
        <f t="shared" si="7"/>
        <v>1032.2474703649461</v>
      </c>
      <c r="Z35" s="33">
        <f t="shared" si="8"/>
        <v>20375.22984810045</v>
      </c>
      <c r="AA35" s="184">
        <f>Z35/'2nd IA Load Pricing Results'!J54</f>
        <v>2.070238575034407</v>
      </c>
      <c r="AB35" s="184">
        <f t="shared" si="2"/>
        <v>19.738706495349305</v>
      </c>
    </row>
    <row r="36" spans="1:28" ht="12.75">
      <c r="A36" s="24" t="s">
        <v>14</v>
      </c>
      <c r="B36" s="101" t="s">
        <v>29</v>
      </c>
      <c r="C36" s="101"/>
      <c r="D36" s="101"/>
      <c r="E36" s="165">
        <f>IF(B36="MAAC",$I$5*'2nd IA Load Pricing Results'!J55/'2nd IA Load Pricing Results'!$B$14,0)</f>
        <v>0</v>
      </c>
      <c r="F36" s="488">
        <f t="shared" si="12"/>
        <v>0</v>
      </c>
      <c r="G36" s="165">
        <f>IF(C36="EMAAC",$I$6*'2nd IA Load Pricing Results'!J55/'2nd IA Load Pricing Results'!$B$15,0)</f>
        <v>0</v>
      </c>
      <c r="H36" s="488">
        <f t="shared" si="10"/>
        <v>0</v>
      </c>
      <c r="I36" s="165">
        <f>IF(C36="SWMAAC",$I$7*'2nd IA Load Pricing Results'!J55/'2nd IA Load Pricing Results'!$B$16,0)</f>
        <v>0</v>
      </c>
      <c r="J36" s="488">
        <f t="shared" si="14"/>
        <v>0</v>
      </c>
      <c r="K36" s="165">
        <f>IF(D36="PS",$I$8*'2nd IA Load Pricing Results'!J55/'2nd IA Load Pricing Results'!$J$58,0)</f>
        <v>0</v>
      </c>
      <c r="L36" s="488">
        <f t="shared" si="11"/>
        <v>0</v>
      </c>
      <c r="M36" s="165">
        <f>IF(D36="DPL",$I$9*'2nd IA Load Pricing Results'!J55/'2nd IA Load Pricing Results'!$J$50,0)</f>
        <v>0</v>
      </c>
      <c r="N36" s="488">
        <f t="shared" si="3"/>
        <v>0</v>
      </c>
      <c r="O36" s="165">
        <f>IF(D36="PEPCO",$I$10*'2nd IA Load Pricing Results'!J55/'2nd IA Load Pricing Results'!$J$56,0)</f>
        <v>0</v>
      </c>
      <c r="P36" s="488">
        <f t="shared" si="9"/>
        <v>0</v>
      </c>
      <c r="Q36" s="165">
        <f>IF(D36="ATSI",$I$11*'2nd IA Load Pricing Results'!J55/'2nd IA Load Pricing Results'!$J$43,0)</f>
        <v>0</v>
      </c>
      <c r="R36" s="488">
        <f t="shared" si="13"/>
        <v>0</v>
      </c>
      <c r="S36" s="165">
        <f>IF(D36="COMED",$I$12*'2nd IA Load Pricing Results'!J55/'2nd IA Load Pricing Results'!$J$45,0)</f>
        <v>0</v>
      </c>
      <c r="T36" s="488">
        <f t="shared" si="4"/>
        <v>0</v>
      </c>
      <c r="U36" s="165">
        <f>IF(D36="BGE",$I$13*'2nd IA Load Pricing Results'!J55/'2nd IA Load Pricing Results'!$J$44,0)</f>
        <v>0</v>
      </c>
      <c r="V36" s="488">
        <f t="shared" si="5"/>
        <v>0</v>
      </c>
      <c r="W36" s="165">
        <f>IF(D36="PL",$I$14*'2nd IA Load Pricing Results'!J55/'2nd IA Load Pricing Results'!$J$57,0)</f>
        <v>0</v>
      </c>
      <c r="X36" s="488">
        <f t="shared" si="6"/>
        <v>0</v>
      </c>
      <c r="Y36" s="52">
        <f t="shared" si="7"/>
        <v>0</v>
      </c>
      <c r="Z36" s="33">
        <f t="shared" si="8"/>
        <v>0</v>
      </c>
      <c r="AA36" s="184">
        <f>Z36/'2nd IA Load Pricing Results'!J55</f>
        <v>0</v>
      </c>
      <c r="AB36" s="184">
        <f t="shared" si="2"/>
        <v>0</v>
      </c>
    </row>
    <row r="37" spans="1:28" ht="12.75">
      <c r="A37" s="24" t="s">
        <v>15</v>
      </c>
      <c r="B37" s="101" t="s">
        <v>29</v>
      </c>
      <c r="C37" s="101" t="s">
        <v>5</v>
      </c>
      <c r="D37" s="101" t="s">
        <v>15</v>
      </c>
      <c r="E37" s="165">
        <f>IF(B37="MAAC",$I$5*'2nd IA Load Pricing Results'!J56/'2nd IA Load Pricing Results'!$B$14,0)</f>
        <v>0</v>
      </c>
      <c r="F37" s="488">
        <f t="shared" si="12"/>
        <v>0</v>
      </c>
      <c r="G37" s="165">
        <f>IF(C37="EMAAC",$I$6*'2nd IA Load Pricing Results'!J56/'2nd IA Load Pricing Results'!$B$15,0)</f>
        <v>0</v>
      </c>
      <c r="H37" s="488">
        <f t="shared" si="10"/>
        <v>0</v>
      </c>
      <c r="I37" s="165">
        <f>IF(C37="SWMAAC",$I$7*'2nd IA Load Pricing Results'!J56/'2nd IA Load Pricing Results'!$B$16,0)</f>
        <v>1975.3082592140333</v>
      </c>
      <c r="J37" s="488">
        <f t="shared" si="14"/>
        <v>0</v>
      </c>
      <c r="K37" s="165">
        <f>IF(D37="PS",$I$8*'2nd IA Load Pricing Results'!J56/'2nd IA Load Pricing Results'!$J$58,0)</f>
        <v>0</v>
      </c>
      <c r="L37" s="488">
        <f t="shared" si="11"/>
        <v>0</v>
      </c>
      <c r="M37" s="165">
        <f>IF(D37="DPL",$I$9*'2nd IA Load Pricing Results'!J56/'2nd IA Load Pricing Results'!$J$50,0)</f>
        <v>0</v>
      </c>
      <c r="N37" s="488">
        <f>M37*$N$19</f>
        <v>0</v>
      </c>
      <c r="O37" s="165">
        <f>IF(D37="PEPCO",$I$10*'2nd IA Load Pricing Results'!J56/'2nd IA Load Pricing Results'!$J$56,0)</f>
        <v>1818.8964527267779</v>
      </c>
      <c r="P37" s="488">
        <f>O37*$P$19</f>
        <v>0</v>
      </c>
      <c r="Q37" s="165">
        <f>IF(D37="ATSI",$I$11*'2nd IA Load Pricing Results'!J56/'2nd IA Load Pricing Results'!$J$43,0)</f>
        <v>0</v>
      </c>
      <c r="R37" s="488">
        <f>Q37*$R$19</f>
        <v>0</v>
      </c>
      <c r="S37" s="165">
        <f>IF(D37="COMED",$I$12*'2nd IA Load Pricing Results'!J56/'2nd IA Load Pricing Results'!$J$45,0)</f>
        <v>0</v>
      </c>
      <c r="T37" s="488">
        <f t="shared" si="4"/>
        <v>0</v>
      </c>
      <c r="U37" s="165">
        <f>IF(D37="BGE",$I$13*'2nd IA Load Pricing Results'!J56/'2nd IA Load Pricing Results'!$J$44,0)</f>
        <v>0</v>
      </c>
      <c r="V37" s="488">
        <f t="shared" si="5"/>
        <v>0</v>
      </c>
      <c r="W37" s="165">
        <f>IF(D37="PL",$I$14*'2nd IA Load Pricing Results'!J56/'2nd IA Load Pricing Results'!$J$57,0)</f>
        <v>0</v>
      </c>
      <c r="X37" s="488">
        <f>W37*$X$19</f>
        <v>0</v>
      </c>
      <c r="Y37" s="52">
        <f t="shared" si="7"/>
        <v>1975.3082592140333</v>
      </c>
      <c r="Z37" s="33">
        <f t="shared" si="8"/>
        <v>0</v>
      </c>
      <c r="AA37" s="184">
        <f>Z37/'2nd IA Load Pricing Results'!J56</f>
        <v>0</v>
      </c>
      <c r="AB37" s="184">
        <f t="shared" si="2"/>
        <v>0</v>
      </c>
    </row>
    <row r="38" spans="1:28" ht="12.75">
      <c r="A38" s="24" t="s">
        <v>10</v>
      </c>
      <c r="B38" s="101" t="s">
        <v>29</v>
      </c>
      <c r="C38" s="101"/>
      <c r="D38" s="101" t="s">
        <v>10</v>
      </c>
      <c r="E38" s="165">
        <f>IF(B38="MAAC",$I$5*'2nd IA Load Pricing Results'!J57/'2nd IA Load Pricing Results'!$B$14,0)</f>
        <v>0</v>
      </c>
      <c r="F38" s="488">
        <f t="shared" si="12"/>
        <v>0</v>
      </c>
      <c r="G38" s="165">
        <f>IF(C38="EMAAC",$I$6*'2nd IA Load Pricing Results'!J57/'2nd IA Load Pricing Results'!$B$15,0)</f>
        <v>0</v>
      </c>
      <c r="H38" s="488">
        <f t="shared" si="10"/>
        <v>0</v>
      </c>
      <c r="I38" s="165">
        <f>IF(C38="SWMAAC",$I$7*'2nd IA Load Pricing Results'!J57/'2nd IA Load Pricing Results'!$B$16,0)</f>
        <v>0</v>
      </c>
      <c r="J38" s="488">
        <f t="shared" si="14"/>
        <v>0</v>
      </c>
      <c r="K38" s="165">
        <f>IF(D38="PS",$I$8*'2nd IA Load Pricing Results'!J57/'2nd IA Load Pricing Results'!$J$58,0)</f>
        <v>0</v>
      </c>
      <c r="L38" s="488">
        <f t="shared" si="11"/>
        <v>0</v>
      </c>
      <c r="M38" s="165">
        <f>IF(D38="DPL",$I$9*'2nd IA Load Pricing Results'!J57/'2nd IA Load Pricing Results'!$J$50,0)</f>
        <v>0</v>
      </c>
      <c r="N38" s="488">
        <f t="shared" si="3"/>
        <v>0</v>
      </c>
      <c r="O38" s="165">
        <f>IF(D38="PEPCO",$I$10*'2nd IA Load Pricing Results'!J57/'2nd IA Load Pricing Results'!$J$56,0)</f>
        <v>0</v>
      </c>
      <c r="P38" s="488">
        <f>O38*$P$19</f>
        <v>0</v>
      </c>
      <c r="Q38" s="165">
        <f>IF(D38="ATSI",$I$11*'2nd IA Load Pricing Results'!J57/'2nd IA Load Pricing Results'!$J$43,0)</f>
        <v>0</v>
      </c>
      <c r="R38" s="488">
        <f t="shared" si="13"/>
        <v>0</v>
      </c>
      <c r="S38" s="165">
        <f>IF(D38="COMED",$I$12*'2nd IA Load Pricing Results'!J57/'2nd IA Load Pricing Results'!$J$45,0)</f>
        <v>0</v>
      </c>
      <c r="T38" s="488">
        <f t="shared" si="4"/>
        <v>0</v>
      </c>
      <c r="U38" s="165">
        <f>IF(D38="BGE",$I$13*'2nd IA Load Pricing Results'!J57/'2nd IA Load Pricing Results'!$J$44,0)</f>
        <v>0</v>
      </c>
      <c r="V38" s="488">
        <f t="shared" si="5"/>
        <v>0</v>
      </c>
      <c r="W38" s="165">
        <f>IF(D38="PL",$I$14*'2nd IA Load Pricing Results'!J57/'2nd IA Load Pricing Results'!$J$57,0)</f>
        <v>0</v>
      </c>
      <c r="X38" s="488">
        <f t="shared" si="6"/>
        <v>0</v>
      </c>
      <c r="Y38" s="52">
        <f t="shared" si="7"/>
        <v>0</v>
      </c>
      <c r="Z38" s="33">
        <f t="shared" si="8"/>
        <v>0</v>
      </c>
      <c r="AA38" s="184">
        <f>Z38/'2nd IA Load Pricing Results'!J57</f>
        <v>0</v>
      </c>
      <c r="AB38" s="184">
        <f t="shared" si="2"/>
        <v>0</v>
      </c>
    </row>
    <row r="39" spans="1:28" ht="12.75">
      <c r="A39" s="24" t="s">
        <v>8</v>
      </c>
      <c r="B39" s="101" t="s">
        <v>29</v>
      </c>
      <c r="C39" s="101" t="s">
        <v>35</v>
      </c>
      <c r="D39" s="101" t="s">
        <v>8</v>
      </c>
      <c r="E39" s="165">
        <f>IF(B39="MAAC",$I$5*'2nd IA Load Pricing Results'!J58/'2nd IA Load Pricing Results'!$B$14,0)</f>
        <v>0</v>
      </c>
      <c r="F39" s="488">
        <f t="shared" si="12"/>
        <v>0</v>
      </c>
      <c r="G39" s="165">
        <f>IF(C39="EMAAC",$I$6*'2nd IA Load Pricing Results'!J58/'2nd IA Load Pricing Results'!$B$15,0)</f>
        <v>1171.5238454709029</v>
      </c>
      <c r="H39" s="488">
        <f>G39*$H$19</f>
        <v>23124.365338053107</v>
      </c>
      <c r="I39" s="165">
        <f>IF(C39="SWMAAC",$I$7*'2nd IA Load Pricing Results'!J58/'2nd IA Load Pricing Results'!$B$16,0)</f>
        <v>0</v>
      </c>
      <c r="J39" s="488">
        <f>I39*$J$19</f>
        <v>0</v>
      </c>
      <c r="K39" s="165">
        <f>IF(D39="PS",$I$8*'2nd IA Load Pricing Results'!J58/'2nd IA Load Pricing Results'!$J$58,0)</f>
        <v>5689.903612519045</v>
      </c>
      <c r="L39" s="488">
        <f>K39*$L$19</f>
        <v>0</v>
      </c>
      <c r="M39" s="165">
        <f>IF(D39="DPL",$I$9*'2nd IA Load Pricing Results'!J58/'2nd IA Load Pricing Results'!$J$50,0)</f>
        <v>0</v>
      </c>
      <c r="N39" s="488">
        <f t="shared" si="3"/>
        <v>0</v>
      </c>
      <c r="O39" s="165">
        <f>IF(D39="PEPCO",$I$10*'2nd IA Load Pricing Results'!J58/'2nd IA Load Pricing Results'!$J$56,0)</f>
        <v>0</v>
      </c>
      <c r="P39" s="488">
        <f>O39*$P$19</f>
        <v>0</v>
      </c>
      <c r="Q39" s="165">
        <f>IF(D39="ATSI",$I$11*'2nd IA Load Pricing Results'!J58/'2nd IA Load Pricing Results'!$J$43,0)</f>
        <v>0</v>
      </c>
      <c r="R39" s="488">
        <f t="shared" si="13"/>
        <v>0</v>
      </c>
      <c r="S39" s="165">
        <f>IF(D39="COMED",$I$12*'2nd IA Load Pricing Results'!J58/'2nd IA Load Pricing Results'!$J$45,0)</f>
        <v>0</v>
      </c>
      <c r="T39" s="488">
        <f t="shared" si="4"/>
        <v>0</v>
      </c>
      <c r="U39" s="165">
        <f>IF(D39="BGE",$I$13*'2nd IA Load Pricing Results'!J58/'2nd IA Load Pricing Results'!$J$44,0)</f>
        <v>0</v>
      </c>
      <c r="V39" s="488">
        <f t="shared" si="5"/>
        <v>0</v>
      </c>
      <c r="W39" s="165">
        <f>IF(D39="PL",$I$14*'2nd IA Load Pricing Results'!J58/'2nd IA Load Pricing Results'!$J$57,0)</f>
        <v>0</v>
      </c>
      <c r="X39" s="488">
        <f t="shared" si="6"/>
        <v>0</v>
      </c>
      <c r="Y39" s="52">
        <f t="shared" si="7"/>
        <v>5689.903612519045</v>
      </c>
      <c r="Z39" s="33">
        <f t="shared" si="8"/>
        <v>23124.365338053107</v>
      </c>
      <c r="AA39" s="184">
        <f>Z39/'2nd IA Load Pricing Results'!J58</f>
        <v>2.0702385750344074</v>
      </c>
      <c r="AB39" s="184">
        <f>IF(Y39=0,0,Z39/Y39)</f>
        <v>4.064104932669578</v>
      </c>
    </row>
    <row r="40" spans="1:28" ht="12.75">
      <c r="A40" s="24" t="s">
        <v>18</v>
      </c>
      <c r="B40" s="101" t="s">
        <v>29</v>
      </c>
      <c r="C40" s="101" t="s">
        <v>35</v>
      </c>
      <c r="D40" s="101"/>
      <c r="E40" s="165">
        <f>IF(B40="MAAC",$I$5*'2nd IA Load Pricing Results'!J59/'2nd IA Load Pricing Results'!$B$14,0)</f>
        <v>0</v>
      </c>
      <c r="F40" s="488">
        <f>E40*$F$19</f>
        <v>0</v>
      </c>
      <c r="G40" s="165">
        <f>IF(C40="EMAAC",$I$6*'2nd IA Load Pricing Results'!J59/'2nd IA Load Pricing Results'!$B$15,0)</f>
        <v>46.959556562273974</v>
      </c>
      <c r="H40" s="488">
        <f>G40*$H$19</f>
        <v>926.9209041344803</v>
      </c>
      <c r="I40" s="165">
        <f>IF(C40="SWMAAC",$I$7*'2nd IA Load Pricing Results'!J59/'2nd IA Load Pricing Results'!$B$16,0)</f>
        <v>0</v>
      </c>
      <c r="J40" s="488">
        <f>I40*$J$19</f>
        <v>0</v>
      </c>
      <c r="K40" s="165">
        <f>IF(D40="PS",$I$8*'2nd IA Load Pricing Results'!J59/'2nd IA Load Pricing Results'!$J$58,0)</f>
        <v>0</v>
      </c>
      <c r="L40" s="488">
        <f>K40*$L$19</f>
        <v>0</v>
      </c>
      <c r="M40" s="165">
        <f>IF(D40="DPL",$I$9*'2nd IA Load Pricing Results'!J59/'2nd IA Load Pricing Results'!$J$50,0)</f>
        <v>0</v>
      </c>
      <c r="N40" s="488">
        <f t="shared" si="3"/>
        <v>0</v>
      </c>
      <c r="O40" s="165">
        <f>IF(D40="PEPCO",$I$10*'2nd IA Load Pricing Results'!J59/'2nd IA Load Pricing Results'!$J$56,0)</f>
        <v>0</v>
      </c>
      <c r="P40" s="488">
        <f>O40*$P$19</f>
        <v>0</v>
      </c>
      <c r="Q40" s="165">
        <f>IF(D40="ATSI",$I$11*'2nd IA Load Pricing Results'!J59/'2nd IA Load Pricing Results'!$J$43,0)</f>
        <v>0</v>
      </c>
      <c r="R40" s="488">
        <f>Q40*$R$19</f>
        <v>0</v>
      </c>
      <c r="S40" s="165">
        <f>IF(D40="COMED",$I$12*'2nd IA Load Pricing Results'!J59/'2nd IA Load Pricing Results'!$J$45,0)</f>
        <v>0</v>
      </c>
      <c r="T40" s="488">
        <f t="shared" si="4"/>
        <v>0</v>
      </c>
      <c r="U40" s="165">
        <f>IF(D40="BGE",$I$13*'2nd IA Load Pricing Results'!J59/'2nd IA Load Pricing Results'!$J$44,0)</f>
        <v>0</v>
      </c>
      <c r="V40" s="488">
        <f t="shared" si="5"/>
        <v>0</v>
      </c>
      <c r="W40" s="165">
        <f>IF(D40="PL",$I$14*'2nd IA Load Pricing Results'!J59/'2nd IA Load Pricing Results'!$J$57,0)</f>
        <v>0</v>
      </c>
      <c r="X40" s="488">
        <f t="shared" si="6"/>
        <v>0</v>
      </c>
      <c r="Y40" s="52">
        <f t="shared" si="7"/>
        <v>46.959556562273974</v>
      </c>
      <c r="Z40" s="33">
        <f t="shared" si="8"/>
        <v>926.9209041344803</v>
      </c>
      <c r="AA40" s="184">
        <f>Z40/'2nd IA Load Pricing Results'!J59</f>
        <v>2.0702385750344074</v>
      </c>
      <c r="AB40" s="184">
        <f>IF(Y40=0,0,Z40/Y40)</f>
        <v>19.738706495349305</v>
      </c>
    </row>
    <row r="41" spans="1:28" ht="12.75">
      <c r="A41" s="690" t="s">
        <v>72</v>
      </c>
      <c r="B41" s="690"/>
      <c r="C41" s="690"/>
      <c r="D41" s="690"/>
      <c r="E41" s="489">
        <f aca="true" t="shared" si="15" ref="E41:X41">SUM(E21:E40)</f>
        <v>0</v>
      </c>
      <c r="F41" s="490">
        <f>SUM(F21:F40)</f>
        <v>0</v>
      </c>
      <c r="G41" s="489">
        <f t="shared" si="15"/>
        <v>3708.57243412667</v>
      </c>
      <c r="H41" s="490">
        <f>SUM(H21:H40)</f>
        <v>73202.4227939695</v>
      </c>
      <c r="I41" s="489">
        <f t="shared" si="15"/>
        <v>4039.562774774211</v>
      </c>
      <c r="J41" s="490">
        <f>SUM(J21:J40)</f>
        <v>0</v>
      </c>
      <c r="K41" s="489">
        <f t="shared" si="15"/>
        <v>5689.903612519045</v>
      </c>
      <c r="L41" s="490">
        <f>SUM(L21:L40)</f>
        <v>0</v>
      </c>
      <c r="M41" s="489">
        <f>SUM(M21:M40)</f>
        <v>0</v>
      </c>
      <c r="N41" s="490">
        <f>SUM(N21:N40)</f>
        <v>0</v>
      </c>
      <c r="O41" s="489">
        <f t="shared" si="15"/>
        <v>1818.8964527267779</v>
      </c>
      <c r="P41" s="490">
        <f>SUM(P21:P40)</f>
        <v>0</v>
      </c>
      <c r="Q41" s="489">
        <f t="shared" si="15"/>
        <v>4163.93061038664</v>
      </c>
      <c r="R41" s="490">
        <f t="shared" si="15"/>
        <v>0</v>
      </c>
      <c r="S41" s="489">
        <f t="shared" si="15"/>
        <v>1792.8231831689554</v>
      </c>
      <c r="T41" s="490">
        <f>SUM(T21:T40)</f>
        <v>180844.33215743647</v>
      </c>
      <c r="U41" s="489">
        <f t="shared" si="15"/>
        <v>5140.36632204743</v>
      </c>
      <c r="V41" s="490">
        <f>SUM(V21:V40)</f>
        <v>-4578.388611357131</v>
      </c>
      <c r="W41" s="489">
        <f t="shared" si="15"/>
        <v>0</v>
      </c>
      <c r="X41" s="490">
        <f t="shared" si="15"/>
        <v>0</v>
      </c>
      <c r="Y41" s="52"/>
      <c r="Z41" s="490">
        <f>SUM(Z21:Z40)</f>
        <v>249468.36634004884</v>
      </c>
      <c r="AA41" s="491"/>
      <c r="AB41" s="491"/>
    </row>
    <row r="42" spans="1:28" ht="12.75">
      <c r="A42" s="25" t="s">
        <v>73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56"/>
      <c r="AA42" s="23"/>
      <c r="AB42" s="23"/>
    </row>
    <row r="43" spans="1:28" ht="12.75">
      <c r="A43" s="25" t="s">
        <v>311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ht="12.75">
      <c r="A44" s="25" t="s">
        <v>75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ht="12.75">
      <c r="A45" s="25" t="s">
        <v>312</v>
      </c>
    </row>
  </sheetData>
  <sheetProtection/>
  <mergeCells count="12">
    <mergeCell ref="S18:T18"/>
    <mergeCell ref="U18:V18"/>
    <mergeCell ref="W18:X18"/>
    <mergeCell ref="A41:D41"/>
    <mergeCell ref="A17:D19"/>
    <mergeCell ref="E18:F18"/>
    <mergeCell ref="G18:H18"/>
    <mergeCell ref="I18:J18"/>
    <mergeCell ref="K18:L18"/>
    <mergeCell ref="M18:N18"/>
    <mergeCell ref="O18:P18"/>
    <mergeCell ref="Q18:R18"/>
  </mergeCells>
  <printOptions/>
  <pageMargins left="0.7" right="0.7" top="0.75" bottom="0.75" header="0.3" footer="0.3"/>
  <pageSetup fitToHeight="1" fitToWidth="1" horizontalDpi="600" verticalDpi="600" orientation="landscape" paperSize="17" scale="4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5.7109375" style="0" customWidth="1"/>
    <col min="2" max="31" width="15.7109375" style="0" customWidth="1"/>
  </cols>
  <sheetData>
    <row r="1" spans="1:2" ht="18.75">
      <c r="A1" s="111" t="s">
        <v>349</v>
      </c>
      <c r="B1" s="11" t="s">
        <v>24</v>
      </c>
    </row>
    <row r="2" spans="1:3" ht="19.5" thickBot="1">
      <c r="A2" s="3"/>
      <c r="C2" s="18" t="s">
        <v>24</v>
      </c>
    </row>
    <row r="3" spans="1:20" ht="13.5" thickBot="1">
      <c r="A3" s="649" t="s">
        <v>64</v>
      </c>
      <c r="B3" s="23"/>
      <c r="C3" s="155" t="s">
        <v>139</v>
      </c>
      <c r="D3" s="23"/>
      <c r="E3" s="23"/>
      <c r="F3" s="23"/>
      <c r="G3" s="23"/>
      <c r="H3" s="23"/>
      <c r="I3" s="155" t="s">
        <v>139</v>
      </c>
      <c r="J3" s="23"/>
      <c r="K3" s="23"/>
      <c r="L3" s="155" t="s">
        <v>139</v>
      </c>
      <c r="M3" s="23"/>
      <c r="N3" s="23"/>
      <c r="O3" s="23"/>
      <c r="P3" s="23"/>
      <c r="Q3" s="23"/>
      <c r="R3" s="23"/>
      <c r="S3" s="23"/>
      <c r="T3" s="23"/>
    </row>
    <row r="4" spans="1:20" ht="13.5" thickBot="1">
      <c r="A4" s="650"/>
      <c r="B4" s="289" t="s">
        <v>29</v>
      </c>
      <c r="C4" s="289" t="s">
        <v>29</v>
      </c>
      <c r="D4" s="290" t="s">
        <v>35</v>
      </c>
      <c r="E4" s="290" t="s">
        <v>5</v>
      </c>
      <c r="F4" s="290" t="s">
        <v>8</v>
      </c>
      <c r="G4" s="290" t="s">
        <v>36</v>
      </c>
      <c r="H4" s="290" t="s">
        <v>37</v>
      </c>
      <c r="I4" s="290" t="s">
        <v>37</v>
      </c>
      <c r="J4" s="290" t="s">
        <v>15</v>
      </c>
      <c r="K4" s="290" t="s">
        <v>11</v>
      </c>
      <c r="L4" s="289" t="s">
        <v>11</v>
      </c>
      <c r="M4" s="175"/>
      <c r="N4" s="175"/>
      <c r="O4" s="175"/>
      <c r="P4" s="175"/>
      <c r="Q4" s="23"/>
      <c r="R4" s="23"/>
      <c r="S4" s="23"/>
      <c r="T4" s="23"/>
    </row>
    <row r="5" spans="1:20" ht="25.5">
      <c r="A5" s="291" t="s">
        <v>103</v>
      </c>
      <c r="B5" s="292" t="s">
        <v>114</v>
      </c>
      <c r="C5" s="292" t="s">
        <v>140</v>
      </c>
      <c r="D5" s="293" t="s">
        <v>148</v>
      </c>
      <c r="E5" s="293" t="s">
        <v>148</v>
      </c>
      <c r="F5" s="293" t="s">
        <v>148</v>
      </c>
      <c r="G5" s="293" t="s">
        <v>148</v>
      </c>
      <c r="H5" s="293" t="s">
        <v>114</v>
      </c>
      <c r="I5" s="293" t="s">
        <v>140</v>
      </c>
      <c r="J5" s="293" t="s">
        <v>148</v>
      </c>
      <c r="K5" s="293" t="s">
        <v>148</v>
      </c>
      <c r="L5" s="292" t="s">
        <v>352</v>
      </c>
      <c r="M5" s="175"/>
      <c r="N5" s="175"/>
      <c r="O5" s="175"/>
      <c r="P5" s="175"/>
      <c r="Q5" s="34"/>
      <c r="R5" s="23"/>
      <c r="S5" s="23"/>
      <c r="T5" s="23"/>
    </row>
    <row r="6" spans="1:20" ht="12.75">
      <c r="A6" s="162" t="s">
        <v>192</v>
      </c>
      <c r="B6" s="232"/>
      <c r="C6" s="573"/>
      <c r="D6" s="233"/>
      <c r="E6" s="233"/>
      <c r="F6" s="233"/>
      <c r="G6" s="233"/>
      <c r="H6" s="233"/>
      <c r="I6" s="233"/>
      <c r="J6" s="233"/>
      <c r="K6" s="233"/>
      <c r="L6" s="573"/>
      <c r="M6" s="175"/>
      <c r="N6" s="175"/>
      <c r="O6" s="175"/>
      <c r="P6" s="175"/>
      <c r="Q6" s="34"/>
      <c r="R6" s="23"/>
      <c r="S6" s="23"/>
      <c r="T6" s="23"/>
    </row>
    <row r="7" spans="1:20" ht="12.75">
      <c r="A7" s="294" t="s">
        <v>95</v>
      </c>
      <c r="B7" s="234">
        <v>160</v>
      </c>
      <c r="C7" s="235">
        <f>B7*'2nd IA CTRs'!$F$5/$B$29</f>
        <v>127.88659309327211</v>
      </c>
      <c r="D7" s="235">
        <v>0</v>
      </c>
      <c r="E7" s="235">
        <v>0</v>
      </c>
      <c r="F7" s="235">
        <v>0</v>
      </c>
      <c r="G7" s="235">
        <v>0</v>
      </c>
      <c r="H7" s="235">
        <v>0</v>
      </c>
      <c r="I7" s="235">
        <v>0</v>
      </c>
      <c r="J7" s="235">
        <v>0</v>
      </c>
      <c r="K7" s="235">
        <v>0</v>
      </c>
      <c r="L7" s="235">
        <v>0</v>
      </c>
      <c r="M7" s="40"/>
      <c r="N7" s="40"/>
      <c r="O7" s="40"/>
      <c r="P7" s="40"/>
      <c r="Q7" s="34"/>
      <c r="R7" s="23"/>
      <c r="S7" s="23"/>
      <c r="T7" s="23"/>
    </row>
    <row r="8" spans="1:20" ht="12.75">
      <c r="A8" s="294" t="s">
        <v>96</v>
      </c>
      <c r="B8" s="234">
        <v>106</v>
      </c>
      <c r="C8" s="235">
        <f>B8*'2nd IA CTRs'!$F$5/$B$29</f>
        <v>84.72486792429278</v>
      </c>
      <c r="D8" s="235">
        <v>0</v>
      </c>
      <c r="E8" s="235">
        <v>0</v>
      </c>
      <c r="F8" s="235">
        <v>0</v>
      </c>
      <c r="G8" s="235">
        <v>0</v>
      </c>
      <c r="H8" s="235">
        <v>0</v>
      </c>
      <c r="I8" s="235">
        <v>0</v>
      </c>
      <c r="J8" s="235">
        <v>0</v>
      </c>
      <c r="K8" s="235">
        <v>0</v>
      </c>
      <c r="L8" s="235">
        <v>0</v>
      </c>
      <c r="M8" s="40"/>
      <c r="N8" s="40"/>
      <c r="O8" s="40"/>
      <c r="P8" s="40"/>
      <c r="Q8" s="34"/>
      <c r="R8" s="23"/>
      <c r="S8" s="23"/>
      <c r="T8" s="23"/>
    </row>
    <row r="9" spans="1:20" ht="12.75">
      <c r="A9" s="294" t="s">
        <v>99</v>
      </c>
      <c r="B9" s="234">
        <v>117</v>
      </c>
      <c r="C9" s="235">
        <f>B9*'2nd IA CTRs'!$F$5/$B$29</f>
        <v>93.51707119945523</v>
      </c>
      <c r="D9" s="235">
        <v>0</v>
      </c>
      <c r="E9" s="235">
        <v>0</v>
      </c>
      <c r="F9" s="235">
        <v>0</v>
      </c>
      <c r="G9" s="235">
        <v>0</v>
      </c>
      <c r="H9" s="235">
        <v>0</v>
      </c>
      <c r="I9" s="235">
        <v>0</v>
      </c>
      <c r="J9" s="235">
        <v>0</v>
      </c>
      <c r="K9" s="235">
        <v>0</v>
      </c>
      <c r="L9" s="235">
        <v>0</v>
      </c>
      <c r="M9" s="40"/>
      <c r="N9" s="40"/>
      <c r="O9" s="40"/>
      <c r="P9" s="40"/>
      <c r="Q9" s="34"/>
      <c r="R9" s="23"/>
      <c r="S9" s="23"/>
      <c r="T9" s="23"/>
    </row>
    <row r="10" spans="1:20" ht="25.5">
      <c r="A10" s="294" t="s">
        <v>100</v>
      </c>
      <c r="B10" s="234">
        <v>0</v>
      </c>
      <c r="C10" s="235">
        <f>B10*'2nd IA CTRs'!$F$5/$B$29</f>
        <v>0</v>
      </c>
      <c r="D10" s="235">
        <v>898</v>
      </c>
      <c r="E10" s="235">
        <v>0</v>
      </c>
      <c r="F10" s="235">
        <v>68.9</v>
      </c>
      <c r="G10" s="235">
        <v>105.5</v>
      </c>
      <c r="H10" s="235">
        <v>0</v>
      </c>
      <c r="I10" s="235">
        <v>0</v>
      </c>
      <c r="J10" s="235">
        <v>0</v>
      </c>
      <c r="K10" s="235">
        <v>0</v>
      </c>
      <c r="L10" s="235">
        <v>0</v>
      </c>
      <c r="M10" s="40"/>
      <c r="N10" s="40"/>
      <c r="O10" s="40"/>
      <c r="P10" s="40"/>
      <c r="Q10" s="34"/>
      <c r="R10" s="23"/>
      <c r="S10" s="23"/>
      <c r="T10" s="23"/>
    </row>
    <row r="11" spans="1:20" ht="12.75">
      <c r="A11" s="294" t="s">
        <v>132</v>
      </c>
      <c r="B11" s="234">
        <v>339</v>
      </c>
      <c r="C11" s="235">
        <f>B11*'2nd IA CTRs'!$F$5/$B$29</f>
        <v>270.9597191163703</v>
      </c>
      <c r="D11" s="235">
        <v>0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235">
        <v>0</v>
      </c>
      <c r="M11" s="40"/>
      <c r="N11" s="40"/>
      <c r="O11" s="40"/>
      <c r="P11" s="40"/>
      <c r="Q11" s="34"/>
      <c r="R11" s="23"/>
      <c r="S11" s="23"/>
      <c r="T11" s="23"/>
    </row>
    <row r="12" spans="1:20" ht="12.75">
      <c r="A12" s="294" t="s">
        <v>194</v>
      </c>
      <c r="B12" s="234">
        <v>0</v>
      </c>
      <c r="C12" s="235">
        <f>B12*'2nd IA CTRs'!$F$5/$B$29</f>
        <v>0</v>
      </c>
      <c r="D12" s="235">
        <v>0</v>
      </c>
      <c r="E12" s="235">
        <v>256</v>
      </c>
      <c r="F12" s="235">
        <v>0</v>
      </c>
      <c r="G12" s="235">
        <v>0</v>
      </c>
      <c r="H12" s="235">
        <v>0</v>
      </c>
      <c r="I12" s="235">
        <v>0</v>
      </c>
      <c r="J12" s="235">
        <v>0</v>
      </c>
      <c r="K12" s="235">
        <v>0</v>
      </c>
      <c r="L12" s="235">
        <v>0</v>
      </c>
      <c r="M12" s="40"/>
      <c r="N12" s="40"/>
      <c r="O12" s="40"/>
      <c r="P12" s="40"/>
      <c r="Q12" s="34"/>
      <c r="R12" s="23"/>
      <c r="S12" s="23"/>
      <c r="T12" s="23"/>
    </row>
    <row r="13" spans="1:20" ht="12.75">
      <c r="A13" s="295" t="s">
        <v>193</v>
      </c>
      <c r="B13" s="236">
        <f aca="true" t="shared" si="0" ref="B13:H13">SUM(B7:B12)</f>
        <v>722</v>
      </c>
      <c r="C13" s="236">
        <f>SUM(C7:C12)</f>
        <v>577.0882513333904</v>
      </c>
      <c r="D13" s="237">
        <f t="shared" si="0"/>
        <v>898</v>
      </c>
      <c r="E13" s="237">
        <f t="shared" si="0"/>
        <v>256</v>
      </c>
      <c r="F13" s="237">
        <f t="shared" si="0"/>
        <v>68.9</v>
      </c>
      <c r="G13" s="237">
        <f t="shared" si="0"/>
        <v>105.5</v>
      </c>
      <c r="H13" s="237">
        <f t="shared" si="0"/>
        <v>0</v>
      </c>
      <c r="I13" s="237">
        <f>SUM(I7:I12)</f>
        <v>0</v>
      </c>
      <c r="J13" s="237">
        <f>SUM(J7:J12)</f>
        <v>0</v>
      </c>
      <c r="K13" s="237">
        <f>SUM(K7:K12)</f>
        <v>0</v>
      </c>
      <c r="L13" s="236">
        <f>SUM(L7:L12)</f>
        <v>0</v>
      </c>
      <c r="M13" s="40"/>
      <c r="N13" s="40"/>
      <c r="O13" s="40"/>
      <c r="P13" s="40"/>
      <c r="Q13" s="34"/>
      <c r="R13" s="23"/>
      <c r="S13" s="23"/>
      <c r="T13" s="23"/>
    </row>
    <row r="14" spans="1:20" ht="12.75">
      <c r="A14" s="162" t="s">
        <v>170</v>
      </c>
      <c r="B14" s="234" t="s">
        <v>24</v>
      </c>
      <c r="C14" s="234" t="s">
        <v>24</v>
      </c>
      <c r="D14" s="235"/>
      <c r="E14" s="235"/>
      <c r="F14" s="235"/>
      <c r="G14" s="235"/>
      <c r="H14" s="235"/>
      <c r="I14" s="235"/>
      <c r="J14" s="235"/>
      <c r="K14" s="235"/>
      <c r="L14" s="234" t="s">
        <v>24</v>
      </c>
      <c r="M14" s="69"/>
      <c r="N14" s="69"/>
      <c r="O14" s="69"/>
      <c r="P14" s="176"/>
      <c r="Q14" s="34"/>
      <c r="R14" s="23"/>
      <c r="S14" s="23"/>
      <c r="T14" s="23"/>
    </row>
    <row r="15" spans="1:20" ht="25.5">
      <c r="A15" s="294" t="s">
        <v>220</v>
      </c>
      <c r="B15" s="234">
        <v>16</v>
      </c>
      <c r="C15" s="235">
        <f>B15*'2nd IA CTRs'!$F$5/$B$29</f>
        <v>12.788659309327212</v>
      </c>
      <c r="D15" s="235">
        <v>0</v>
      </c>
      <c r="E15" s="235">
        <v>237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124</v>
      </c>
      <c r="L15" s="235">
        <v>0</v>
      </c>
      <c r="M15" s="69"/>
      <c r="N15" s="69"/>
      <c r="O15" s="69"/>
      <c r="P15" s="176"/>
      <c r="Q15" s="34"/>
      <c r="R15" s="23"/>
      <c r="S15" s="23"/>
      <c r="T15" s="23"/>
    </row>
    <row r="16" spans="1:20" ht="25.5">
      <c r="A16" s="294" t="s">
        <v>126</v>
      </c>
      <c r="B16" s="234">
        <v>0</v>
      </c>
      <c r="C16" s="235">
        <f>B16*'2nd IA CTRs'!$F$5/$B$29</f>
        <v>0</v>
      </c>
      <c r="D16" s="235">
        <v>0</v>
      </c>
      <c r="E16" s="235">
        <v>0</v>
      </c>
      <c r="F16" s="235">
        <v>340.2</v>
      </c>
      <c r="G16" s="235">
        <v>494.5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69"/>
      <c r="N16" s="69"/>
      <c r="O16" s="69"/>
      <c r="P16" s="176"/>
      <c r="Q16" s="34"/>
      <c r="R16" s="23"/>
      <c r="S16" s="23"/>
      <c r="T16" s="23"/>
    </row>
    <row r="17" spans="1:20" ht="25.5">
      <c r="A17" s="294" t="s">
        <v>97</v>
      </c>
      <c r="B17" s="234">
        <v>0</v>
      </c>
      <c r="C17" s="235">
        <f>B17*'2nd IA CTRs'!$F$5/$B$29</f>
        <v>0</v>
      </c>
      <c r="D17" s="235">
        <v>0</v>
      </c>
      <c r="E17" s="235">
        <v>0</v>
      </c>
      <c r="F17" s="235">
        <v>90.3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69"/>
      <c r="N17" s="69"/>
      <c r="O17" s="69"/>
      <c r="P17" s="176"/>
      <c r="Q17" s="34"/>
      <c r="R17" s="23"/>
      <c r="S17" s="23"/>
      <c r="T17" s="23"/>
    </row>
    <row r="18" spans="1:20" ht="25.5">
      <c r="A18" s="294" t="s">
        <v>232</v>
      </c>
      <c r="B18" s="234">
        <v>0</v>
      </c>
      <c r="C18" s="235">
        <f>B18*'2nd IA CTRs'!$F$5/$B$29</f>
        <v>0</v>
      </c>
      <c r="D18" s="235">
        <v>0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182</v>
      </c>
      <c r="L18" s="235">
        <v>0</v>
      </c>
      <c r="M18" s="69"/>
      <c r="N18" s="69"/>
      <c r="O18" s="69"/>
      <c r="P18" s="176"/>
      <c r="Q18" s="34"/>
      <c r="R18" s="23"/>
      <c r="S18" s="23"/>
      <c r="T18" s="23"/>
    </row>
    <row r="19" spans="1:20" ht="25.5">
      <c r="A19" s="294" t="s">
        <v>350</v>
      </c>
      <c r="B19" s="234">
        <v>0</v>
      </c>
      <c r="C19" s="235">
        <f>B19*'2nd IA CTRs'!$F$5/$B$29</f>
        <v>0</v>
      </c>
      <c r="D19" s="235">
        <v>0</v>
      </c>
      <c r="E19" s="543">
        <v>0</v>
      </c>
      <c r="F19" s="235">
        <v>0</v>
      </c>
      <c r="G19" s="235">
        <v>0</v>
      </c>
      <c r="H19" s="235">
        <v>0</v>
      </c>
      <c r="I19" s="235">
        <v>0</v>
      </c>
      <c r="J19" s="543">
        <v>0</v>
      </c>
      <c r="K19" s="235">
        <v>0</v>
      </c>
      <c r="L19" s="235">
        <v>0</v>
      </c>
      <c r="M19" s="69"/>
      <c r="N19" s="69"/>
      <c r="O19" s="69"/>
      <c r="P19" s="176"/>
      <c r="Q19" s="34"/>
      <c r="R19" s="23"/>
      <c r="S19" s="23"/>
      <c r="T19" s="23"/>
    </row>
    <row r="20" spans="1:20" ht="12.75">
      <c r="A20" s="295" t="s">
        <v>104</v>
      </c>
      <c r="B20" s="236">
        <f aca="true" t="shared" si="1" ref="B20:H20">SUM(B15:B19)</f>
        <v>16</v>
      </c>
      <c r="C20" s="236">
        <f>SUM(C15:C19)</f>
        <v>12.788659309327212</v>
      </c>
      <c r="D20" s="237">
        <f t="shared" si="1"/>
        <v>0</v>
      </c>
      <c r="E20" s="237">
        <f>SUM(E15:E19)</f>
        <v>237</v>
      </c>
      <c r="F20" s="237">
        <f>SUM(F15:F19)</f>
        <v>430.5</v>
      </c>
      <c r="G20" s="237">
        <f>SUM(G15:G19)</f>
        <v>494.5</v>
      </c>
      <c r="H20" s="237">
        <f t="shared" si="1"/>
        <v>0</v>
      </c>
      <c r="I20" s="237">
        <f>SUM(I15:I19)</f>
        <v>0</v>
      </c>
      <c r="J20" s="237">
        <f>SUM(J15:J19)</f>
        <v>0</v>
      </c>
      <c r="K20" s="237">
        <f>SUM(K15:K19)</f>
        <v>306</v>
      </c>
      <c r="L20" s="236">
        <f>SUM(L15:L19)</f>
        <v>0</v>
      </c>
      <c r="M20" s="69"/>
      <c r="N20" s="69"/>
      <c r="O20" s="69"/>
      <c r="P20" s="176"/>
      <c r="Q20" s="34"/>
      <c r="R20" s="23"/>
      <c r="S20" s="23"/>
      <c r="T20" s="23"/>
    </row>
    <row r="21" spans="1:20" ht="12.75">
      <c r="A21" s="162" t="s">
        <v>80</v>
      </c>
      <c r="B21" s="238"/>
      <c r="C21" s="238"/>
      <c r="D21" s="239"/>
      <c r="E21" s="239"/>
      <c r="F21" s="239"/>
      <c r="G21" s="239"/>
      <c r="H21" s="239"/>
      <c r="I21" s="239"/>
      <c r="J21" s="239"/>
      <c r="K21" s="239"/>
      <c r="L21" s="238"/>
      <c r="M21" s="69"/>
      <c r="N21" s="69"/>
      <c r="O21" s="69"/>
      <c r="P21" s="176"/>
      <c r="Q21" s="34"/>
      <c r="R21" s="23"/>
      <c r="S21" s="23"/>
      <c r="T21" s="23"/>
    </row>
    <row r="22" spans="1:20" ht="25.5">
      <c r="A22" s="294" t="s">
        <v>98</v>
      </c>
      <c r="B22" s="234">
        <v>159</v>
      </c>
      <c r="C22" s="235">
        <f>B22*'2nd IA CTRs'!$F$5/$B$29</f>
        <v>127.08730188643915</v>
      </c>
      <c r="D22" s="235">
        <v>0</v>
      </c>
      <c r="E22" s="235">
        <v>0</v>
      </c>
      <c r="F22" s="235">
        <v>0</v>
      </c>
      <c r="G22" s="235">
        <v>0</v>
      </c>
      <c r="H22" s="235">
        <v>0</v>
      </c>
      <c r="I22" s="235">
        <v>0</v>
      </c>
      <c r="J22" s="235">
        <v>0</v>
      </c>
      <c r="K22" s="235">
        <v>0</v>
      </c>
      <c r="L22" s="235">
        <v>0</v>
      </c>
      <c r="M22" s="69"/>
      <c r="N22" s="69"/>
      <c r="O22" s="69"/>
      <c r="P22" s="176"/>
      <c r="Q22" s="34"/>
      <c r="R22" s="23"/>
      <c r="S22" s="23"/>
      <c r="T22" s="23"/>
    </row>
    <row r="23" spans="1:20" ht="25.5">
      <c r="A23" s="294" t="s">
        <v>233</v>
      </c>
      <c r="B23" s="234">
        <v>0</v>
      </c>
      <c r="C23" s="235">
        <f>B23*'2nd IA CTRs'!$F$5/$B$29</f>
        <v>0</v>
      </c>
      <c r="D23" s="235">
        <v>0</v>
      </c>
      <c r="E23" s="235">
        <v>0</v>
      </c>
      <c r="F23" s="235">
        <v>0</v>
      </c>
      <c r="G23" s="235">
        <v>0</v>
      </c>
      <c r="H23" s="235">
        <v>37</v>
      </c>
      <c r="I23" s="235">
        <f>H23*'BRA CTRs'!$F$9/$H$29</f>
        <v>0</v>
      </c>
      <c r="J23" s="235">
        <v>0</v>
      </c>
      <c r="K23" s="235">
        <v>0</v>
      </c>
      <c r="L23" s="235">
        <v>0</v>
      </c>
      <c r="M23" s="69"/>
      <c r="N23" s="69"/>
      <c r="O23" s="69"/>
      <c r="P23" s="176"/>
      <c r="Q23" s="34"/>
      <c r="R23" s="23"/>
      <c r="S23" s="23"/>
      <c r="T23" s="23"/>
    </row>
    <row r="24" spans="1:20" ht="25.5">
      <c r="A24" s="294" t="s">
        <v>234</v>
      </c>
      <c r="B24" s="234">
        <v>0</v>
      </c>
      <c r="C24" s="235">
        <f>B24*'2nd IA CTRs'!$F$5/$B$29</f>
        <v>0</v>
      </c>
      <c r="D24" s="235">
        <v>0</v>
      </c>
      <c r="E24" s="240">
        <v>0</v>
      </c>
      <c r="F24" s="240">
        <v>0</v>
      </c>
      <c r="G24" s="240">
        <v>0</v>
      </c>
      <c r="H24" s="240">
        <v>35</v>
      </c>
      <c r="I24" s="235">
        <f>H24*'BRA CTRs'!$F$9/$H$29</f>
        <v>0</v>
      </c>
      <c r="J24" s="240">
        <v>0</v>
      </c>
      <c r="K24" s="235">
        <v>0</v>
      </c>
      <c r="L24" s="235">
        <v>0</v>
      </c>
      <c r="M24" s="69"/>
      <c r="N24" s="69"/>
      <c r="O24" s="69"/>
      <c r="P24" s="176"/>
      <c r="Q24" s="34"/>
      <c r="R24" s="23"/>
      <c r="S24" s="23"/>
      <c r="T24" s="23"/>
    </row>
    <row r="25" spans="1:20" ht="12.75">
      <c r="A25" s="294" t="s">
        <v>235</v>
      </c>
      <c r="B25" s="234">
        <v>733</v>
      </c>
      <c r="C25" s="235">
        <f>B25*'2nd IA CTRs'!$F$5/$B$29</f>
        <v>585.8804546085529</v>
      </c>
      <c r="D25" s="235">
        <v>0</v>
      </c>
      <c r="E25" s="240">
        <v>0</v>
      </c>
      <c r="F25" s="240">
        <v>0</v>
      </c>
      <c r="G25" s="240">
        <v>0</v>
      </c>
      <c r="H25" s="240">
        <v>0</v>
      </c>
      <c r="I25" s="235">
        <f>H25*'BRA CTRs'!$F$9/$H$29</f>
        <v>0</v>
      </c>
      <c r="J25" s="240">
        <v>0</v>
      </c>
      <c r="K25" s="235">
        <v>0</v>
      </c>
      <c r="L25" s="235">
        <v>0</v>
      </c>
      <c r="M25" s="69"/>
      <c r="N25" s="69"/>
      <c r="O25" s="69"/>
      <c r="P25" s="176"/>
      <c r="Q25" s="34"/>
      <c r="R25" s="23"/>
      <c r="S25" s="23"/>
      <c r="T25" s="23"/>
    </row>
    <row r="26" spans="1:20" ht="12.75">
      <c r="A26" s="294" t="s">
        <v>231</v>
      </c>
      <c r="B26" s="234">
        <v>0</v>
      </c>
      <c r="C26" s="235">
        <f>B26*'2nd IA CTRs'!$F$5/$B$29</f>
        <v>0</v>
      </c>
      <c r="D26" s="235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35">
        <v>65.7</v>
      </c>
      <c r="L26" s="235">
        <v>0</v>
      </c>
      <c r="M26" s="69"/>
      <c r="N26" s="69"/>
      <c r="O26" s="69"/>
      <c r="P26" s="176"/>
      <c r="Q26" s="34"/>
      <c r="R26" s="23"/>
      <c r="S26" s="23"/>
      <c r="T26" s="23"/>
    </row>
    <row r="27" spans="1:20" ht="12.75">
      <c r="A27" s="295" t="s">
        <v>86</v>
      </c>
      <c r="B27" s="236">
        <f aca="true" t="shared" si="2" ref="B27:K27">SUM(B22:B26)</f>
        <v>892</v>
      </c>
      <c r="C27" s="236">
        <f t="shared" si="2"/>
        <v>712.967756494992</v>
      </c>
      <c r="D27" s="241">
        <f t="shared" si="2"/>
        <v>0</v>
      </c>
      <c r="E27" s="236">
        <f t="shared" si="2"/>
        <v>0</v>
      </c>
      <c r="F27" s="236">
        <f t="shared" si="2"/>
        <v>0</v>
      </c>
      <c r="G27" s="236">
        <f t="shared" si="2"/>
        <v>0</v>
      </c>
      <c r="H27" s="236">
        <f t="shared" si="2"/>
        <v>72</v>
      </c>
      <c r="I27" s="236">
        <f t="shared" si="2"/>
        <v>0</v>
      </c>
      <c r="J27" s="236">
        <f t="shared" si="2"/>
        <v>0</v>
      </c>
      <c r="K27" s="241">
        <f t="shared" si="2"/>
        <v>65.7</v>
      </c>
      <c r="L27" s="236">
        <f>SUM(L22:L26)</f>
        <v>0</v>
      </c>
      <c r="M27" s="69"/>
      <c r="N27" s="69"/>
      <c r="O27" s="69"/>
      <c r="P27" s="176"/>
      <c r="Q27" s="34"/>
      <c r="R27" s="23"/>
      <c r="S27" s="23"/>
      <c r="T27" s="23"/>
    </row>
    <row r="28" spans="1:20" ht="12.75">
      <c r="A28" s="296"/>
      <c r="B28" s="234"/>
      <c r="C28" s="234"/>
      <c r="D28" s="233"/>
      <c r="E28" s="233"/>
      <c r="F28" s="233"/>
      <c r="G28" s="233"/>
      <c r="H28" s="233"/>
      <c r="I28" s="233"/>
      <c r="J28" s="233"/>
      <c r="K28" s="233"/>
      <c r="L28" s="234"/>
      <c r="M28" s="69"/>
      <c r="N28" s="69"/>
      <c r="O28" s="69"/>
      <c r="P28" s="176"/>
      <c r="Q28" s="34"/>
      <c r="R28" s="23"/>
      <c r="S28" s="23"/>
      <c r="T28" s="23"/>
    </row>
    <row r="29" spans="1:20" ht="13.5" thickBot="1">
      <c r="A29" s="297" t="s">
        <v>87</v>
      </c>
      <c r="B29" s="298">
        <f>B13+B20+B27</f>
        <v>1630</v>
      </c>
      <c r="C29" s="298">
        <f>C13+C20+C27</f>
        <v>1302.8446671377096</v>
      </c>
      <c r="D29" s="242">
        <f aca="true" t="shared" si="3" ref="D29:J29">D13+D20+D27</f>
        <v>898</v>
      </c>
      <c r="E29" s="242">
        <f t="shared" si="3"/>
        <v>493</v>
      </c>
      <c r="F29" s="242">
        <f t="shared" si="3"/>
        <v>499.4</v>
      </c>
      <c r="G29" s="242">
        <f t="shared" si="3"/>
        <v>600</v>
      </c>
      <c r="H29" s="242">
        <f t="shared" si="3"/>
        <v>72</v>
      </c>
      <c r="I29" s="242">
        <f t="shared" si="3"/>
        <v>0</v>
      </c>
      <c r="J29" s="242">
        <f t="shared" si="3"/>
        <v>0</v>
      </c>
      <c r="K29" s="242">
        <f>K13+K20+K27</f>
        <v>371.7</v>
      </c>
      <c r="L29" s="298">
        <f>L13+L20+L27</f>
        <v>0</v>
      </c>
      <c r="M29" s="177"/>
      <c r="N29" s="177"/>
      <c r="O29" s="177"/>
      <c r="P29" s="40"/>
      <c r="Q29" s="34"/>
      <c r="R29" s="23"/>
      <c r="S29" s="23"/>
      <c r="T29" s="23"/>
    </row>
    <row r="30" spans="1:29" ht="12.75">
      <c r="A30" s="645" t="s">
        <v>117</v>
      </c>
      <c r="B30" s="646"/>
      <c r="C30" s="646"/>
      <c r="D30" s="646"/>
      <c r="E30" s="646"/>
      <c r="F30" s="646"/>
      <c r="G30" s="646"/>
      <c r="H30" s="646"/>
      <c r="I30" s="646"/>
      <c r="J30" s="646"/>
      <c r="K30" s="646"/>
      <c r="L30" s="537"/>
      <c r="M30" s="178"/>
      <c r="N30" s="36"/>
      <c r="O30" s="34"/>
      <c r="P30" s="34"/>
      <c r="Q30" s="34"/>
      <c r="R30" s="34"/>
      <c r="S30" s="34"/>
      <c r="T30" s="34"/>
      <c r="U30" s="34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645" t="s">
        <v>353</v>
      </c>
      <c r="B31" s="646"/>
      <c r="C31" s="646"/>
      <c r="D31" s="646"/>
      <c r="E31" s="646"/>
      <c r="F31" s="646"/>
      <c r="G31" s="646"/>
      <c r="H31" s="646"/>
      <c r="I31" s="646"/>
      <c r="J31" s="646"/>
      <c r="K31" s="646"/>
      <c r="L31" s="178"/>
      <c r="M31" s="178"/>
      <c r="N31" s="36"/>
      <c r="O31" s="34"/>
      <c r="P31" s="34"/>
      <c r="Q31" s="34"/>
      <c r="R31" s="34"/>
      <c r="S31" s="34"/>
      <c r="T31" s="34"/>
      <c r="U31" s="34"/>
      <c r="V31" s="15"/>
      <c r="W31" s="15"/>
      <c r="X31" s="15"/>
      <c r="Y31" s="15"/>
      <c r="Z31" s="15"/>
      <c r="AA31" s="15"/>
      <c r="AB31" s="15"/>
      <c r="AC31" s="15"/>
    </row>
    <row r="32" spans="1:29" ht="12.75">
      <c r="A32" s="180"/>
      <c r="B32" s="179"/>
      <c r="C32" s="179"/>
      <c r="D32" s="42"/>
      <c r="E32" s="178"/>
      <c r="F32" s="178"/>
      <c r="G32" s="178"/>
      <c r="H32" s="178"/>
      <c r="I32" s="178"/>
      <c r="J32" s="36"/>
      <c r="K32" s="178"/>
      <c r="L32" s="178"/>
      <c r="M32" s="178"/>
      <c r="N32" s="36"/>
      <c r="O32" s="34"/>
      <c r="P32" s="34"/>
      <c r="Q32" s="34"/>
      <c r="R32" s="34"/>
      <c r="S32" s="34"/>
      <c r="T32" s="34"/>
      <c r="U32" s="34"/>
      <c r="V32" s="15"/>
      <c r="W32" s="15"/>
      <c r="X32" s="15"/>
      <c r="Y32" s="15"/>
      <c r="Z32" s="15"/>
      <c r="AA32" s="15"/>
      <c r="AB32" s="15"/>
      <c r="AC32" s="15"/>
    </row>
    <row r="33" spans="1:21" ht="32.25" thickBot="1">
      <c r="A33" s="215" t="s">
        <v>105</v>
      </c>
      <c r="B33" s="181" t="s">
        <v>24</v>
      </c>
      <c r="C33" s="181" t="s">
        <v>24</v>
      </c>
      <c r="D33" s="73"/>
      <c r="E33" s="178"/>
      <c r="F33" s="178"/>
      <c r="G33" s="178"/>
      <c r="H33" s="178"/>
      <c r="I33" s="309"/>
      <c r="J33" s="301"/>
      <c r="K33" s="301"/>
      <c r="L33" s="302"/>
      <c r="M33" s="178"/>
      <c r="N33" s="36"/>
      <c r="O33" s="23"/>
      <c r="P33" s="23"/>
      <c r="Q33" s="23"/>
      <c r="R33" s="23"/>
      <c r="S33" s="23"/>
      <c r="T33" s="23"/>
      <c r="U33" s="23"/>
    </row>
    <row r="34" spans="1:21" ht="39" thickBot="1">
      <c r="A34" s="557" t="s">
        <v>62</v>
      </c>
      <c r="B34" s="553" t="s">
        <v>197</v>
      </c>
      <c r="C34" s="554" t="s">
        <v>106</v>
      </c>
      <c r="D34" s="555" t="s">
        <v>107</v>
      </c>
      <c r="E34" s="555" t="s">
        <v>108</v>
      </c>
      <c r="F34" s="554" t="s">
        <v>149</v>
      </c>
      <c r="G34" s="546"/>
      <c r="H34" s="545"/>
      <c r="I34" s="330"/>
      <c r="J34" s="546"/>
      <c r="K34" s="547"/>
      <c r="L34" s="547"/>
      <c r="M34" s="546"/>
      <c r="N34" s="36"/>
      <c r="O34" s="34"/>
      <c r="P34" s="34"/>
      <c r="Q34" s="34"/>
      <c r="R34" s="34"/>
      <c r="S34" s="23"/>
      <c r="T34" s="23"/>
      <c r="U34" s="23"/>
    </row>
    <row r="35" spans="1:21" ht="12.75">
      <c r="A35" s="505" t="s">
        <v>16</v>
      </c>
      <c r="B35" s="558">
        <v>0.0166</v>
      </c>
      <c r="C35" s="508">
        <v>0.0903</v>
      </c>
      <c r="D35" s="508">
        <v>0.0028</v>
      </c>
      <c r="E35" s="508">
        <v>0</v>
      </c>
      <c r="F35" s="559">
        <v>0</v>
      </c>
      <c r="G35" s="551"/>
      <c r="H35" s="548"/>
      <c r="I35" s="549"/>
      <c r="J35" s="550"/>
      <c r="K35" s="550"/>
      <c r="L35" s="550"/>
      <c r="M35" s="550"/>
      <c r="N35" s="544"/>
      <c r="O35" s="544"/>
      <c r="P35" s="544"/>
      <c r="Q35" s="544"/>
      <c r="R35" s="544"/>
      <c r="S35" s="23"/>
      <c r="T35" s="23"/>
      <c r="U35" s="23"/>
    </row>
    <row r="36" spans="1:21" ht="12.75">
      <c r="A36" s="506" t="s">
        <v>30</v>
      </c>
      <c r="B36" s="541">
        <v>0.1416</v>
      </c>
      <c r="C36" s="509">
        <v>0</v>
      </c>
      <c r="D36" s="509">
        <v>0</v>
      </c>
      <c r="E36" s="509">
        <v>0</v>
      </c>
      <c r="F36" s="560">
        <v>0</v>
      </c>
      <c r="G36" s="551"/>
      <c r="H36" s="548"/>
      <c r="I36" s="549"/>
      <c r="J36" s="550"/>
      <c r="K36" s="550"/>
      <c r="L36" s="550"/>
      <c r="M36" s="550"/>
      <c r="N36" s="544"/>
      <c r="O36" s="544"/>
      <c r="P36" s="544"/>
      <c r="Q36" s="544"/>
      <c r="R36" s="544"/>
      <c r="S36" s="23"/>
      <c r="T36" s="23"/>
      <c r="U36" s="23"/>
    </row>
    <row r="37" spans="1:21" ht="12.75">
      <c r="A37" s="506" t="s">
        <v>19</v>
      </c>
      <c r="B37" s="541">
        <v>0.0573</v>
      </c>
      <c r="C37" s="509">
        <v>0</v>
      </c>
      <c r="D37" s="509">
        <v>0</v>
      </c>
      <c r="E37" s="509">
        <v>0</v>
      </c>
      <c r="F37" s="560">
        <v>0.0442</v>
      </c>
      <c r="G37" s="551"/>
      <c r="H37" s="548"/>
      <c r="I37" s="549"/>
      <c r="J37" s="550"/>
      <c r="K37" s="550"/>
      <c r="L37" s="550"/>
      <c r="M37" s="550"/>
      <c r="N37" s="544"/>
      <c r="O37" s="544"/>
      <c r="P37" s="544"/>
      <c r="Q37" s="544"/>
      <c r="R37" s="544"/>
      <c r="S37" s="23"/>
      <c r="T37" s="23"/>
      <c r="U37" s="23"/>
    </row>
    <row r="38" spans="1:29" ht="12.75">
      <c r="A38" s="506" t="s">
        <v>45</v>
      </c>
      <c r="B38" s="541">
        <v>0.0788</v>
      </c>
      <c r="C38" s="509">
        <v>0</v>
      </c>
      <c r="D38" s="509">
        <v>0</v>
      </c>
      <c r="E38" s="509">
        <v>0</v>
      </c>
      <c r="F38" s="560">
        <v>0</v>
      </c>
      <c r="G38" s="551"/>
      <c r="H38" s="548"/>
      <c r="I38" s="549"/>
      <c r="J38" s="550"/>
      <c r="K38" s="550"/>
      <c r="L38" s="550"/>
      <c r="M38" s="550"/>
      <c r="N38" s="544"/>
      <c r="O38" s="544"/>
      <c r="P38" s="544"/>
      <c r="Q38" s="544"/>
      <c r="R38" s="544"/>
      <c r="S38" s="34"/>
      <c r="T38" s="34"/>
      <c r="U38" s="34"/>
      <c r="V38" s="15"/>
      <c r="W38" s="15"/>
      <c r="X38" s="15"/>
      <c r="Y38" s="15"/>
      <c r="Z38" s="15"/>
      <c r="AA38" s="15"/>
      <c r="AB38" s="15"/>
      <c r="AC38" s="15"/>
    </row>
    <row r="39" spans="1:29" ht="12.75">
      <c r="A39" s="506" t="s">
        <v>11</v>
      </c>
      <c r="B39" s="541">
        <v>0.0422</v>
      </c>
      <c r="C39" s="509">
        <v>0</v>
      </c>
      <c r="D39" s="509">
        <v>0.0118</v>
      </c>
      <c r="E39" s="509">
        <v>0</v>
      </c>
      <c r="F39" s="560">
        <v>0.6695</v>
      </c>
      <c r="G39" s="551"/>
      <c r="H39" s="548"/>
      <c r="I39" s="549"/>
      <c r="J39" s="550"/>
      <c r="K39" s="550"/>
      <c r="L39" s="550"/>
      <c r="M39" s="550"/>
      <c r="N39" s="544"/>
      <c r="O39" s="544"/>
      <c r="P39" s="544"/>
      <c r="Q39" s="544"/>
      <c r="R39" s="544"/>
      <c r="S39" s="34"/>
      <c r="T39" s="34"/>
      <c r="U39" s="34"/>
      <c r="V39" s="15"/>
      <c r="W39" s="15"/>
      <c r="X39" s="15"/>
      <c r="Y39" s="15"/>
      <c r="Z39" s="15"/>
      <c r="AA39" s="15"/>
      <c r="AB39" s="15"/>
      <c r="AC39" s="15"/>
    </row>
    <row r="40" spans="1:29" ht="12.75">
      <c r="A40" s="506" t="s">
        <v>325</v>
      </c>
      <c r="B40" s="541">
        <v>0.1331</v>
      </c>
      <c r="C40" s="509">
        <v>0</v>
      </c>
      <c r="D40" s="509">
        <v>0.0283</v>
      </c>
      <c r="E40" s="509">
        <v>0</v>
      </c>
      <c r="F40" s="560">
        <v>0.0412</v>
      </c>
      <c r="G40" s="551"/>
      <c r="H40" s="548"/>
      <c r="I40" s="549"/>
      <c r="J40" s="550"/>
      <c r="K40" s="550"/>
      <c r="L40" s="550"/>
      <c r="M40" s="550"/>
      <c r="N40" s="544"/>
      <c r="O40" s="544"/>
      <c r="P40" s="544"/>
      <c r="Q40" s="544"/>
      <c r="R40" s="544"/>
      <c r="S40" s="34"/>
      <c r="T40" s="34"/>
      <c r="U40" s="34"/>
      <c r="V40" s="15"/>
      <c r="W40" s="15"/>
      <c r="X40" s="15"/>
      <c r="Y40" s="15"/>
      <c r="Z40" s="15"/>
      <c r="AA40" s="15"/>
      <c r="AB40" s="15"/>
      <c r="AC40" s="15"/>
    </row>
    <row r="41" spans="1:21" ht="12.75">
      <c r="A41" s="506" t="s">
        <v>118</v>
      </c>
      <c r="B41" s="541">
        <v>0</v>
      </c>
      <c r="C41" s="509">
        <v>0</v>
      </c>
      <c r="D41" s="509">
        <v>0</v>
      </c>
      <c r="E41" s="509">
        <v>0</v>
      </c>
      <c r="F41" s="560">
        <v>0</v>
      </c>
      <c r="G41" s="551"/>
      <c r="H41" s="548"/>
      <c r="I41" s="549"/>
      <c r="J41" s="550"/>
      <c r="K41" s="550"/>
      <c r="L41" s="550"/>
      <c r="M41" s="550"/>
      <c r="N41" s="544"/>
      <c r="O41" s="544"/>
      <c r="P41" s="544"/>
      <c r="Q41" s="544"/>
      <c r="R41" s="544"/>
      <c r="S41" s="23"/>
      <c r="T41" s="23"/>
      <c r="U41" s="23"/>
    </row>
    <row r="42" spans="1:21" ht="12.75">
      <c r="A42" s="506" t="s">
        <v>326</v>
      </c>
      <c r="B42" s="541">
        <v>0.0211</v>
      </c>
      <c r="C42" s="509">
        <v>0</v>
      </c>
      <c r="D42" s="509">
        <v>0.0016</v>
      </c>
      <c r="E42" s="509">
        <v>0</v>
      </c>
      <c r="F42" s="560">
        <v>0.0049</v>
      </c>
      <c r="G42" s="551"/>
      <c r="H42" s="548"/>
      <c r="I42" s="549"/>
      <c r="J42" s="550"/>
      <c r="K42" s="550"/>
      <c r="L42" s="550"/>
      <c r="M42" s="550"/>
      <c r="N42" s="544"/>
      <c r="O42" s="544"/>
      <c r="P42" s="544"/>
      <c r="Q42" s="544"/>
      <c r="R42" s="544"/>
      <c r="S42" s="23"/>
      <c r="T42" s="23"/>
      <c r="U42" s="23"/>
    </row>
    <row r="43" spans="1:21" ht="12.75">
      <c r="A43" s="506" t="s">
        <v>327</v>
      </c>
      <c r="B43" s="541">
        <v>0.0329</v>
      </c>
      <c r="C43" s="509">
        <v>0</v>
      </c>
      <c r="D43" s="509">
        <v>0</v>
      </c>
      <c r="E43" s="509">
        <v>0</v>
      </c>
      <c r="F43" s="560">
        <v>0</v>
      </c>
      <c r="G43" s="551"/>
      <c r="H43" s="548"/>
      <c r="I43" s="549"/>
      <c r="J43" s="550"/>
      <c r="K43" s="550"/>
      <c r="L43" s="550"/>
      <c r="M43" s="550"/>
      <c r="N43" s="544"/>
      <c r="O43" s="544"/>
      <c r="P43" s="544"/>
      <c r="Q43" s="544"/>
      <c r="R43" s="544"/>
      <c r="S43" s="23"/>
      <c r="T43" s="23"/>
      <c r="U43" s="23"/>
    </row>
    <row r="44" spans="1:21" ht="12.75">
      <c r="A44" s="506" t="s">
        <v>328</v>
      </c>
      <c r="B44" s="541">
        <v>0.0175</v>
      </c>
      <c r="C44" s="509">
        <v>0</v>
      </c>
      <c r="D44" s="509">
        <v>0</v>
      </c>
      <c r="E44" s="509">
        <v>0</v>
      </c>
      <c r="F44" s="560">
        <v>0</v>
      </c>
      <c r="G44" s="551"/>
      <c r="H44" s="548"/>
      <c r="I44" s="549"/>
      <c r="J44" s="550"/>
      <c r="K44" s="550"/>
      <c r="L44" s="550"/>
      <c r="M44" s="550"/>
      <c r="N44" s="544"/>
      <c r="O44" s="544"/>
      <c r="P44" s="544"/>
      <c r="Q44" s="544"/>
      <c r="R44" s="544"/>
      <c r="S44" s="23"/>
      <c r="T44" s="23"/>
      <c r="U44" s="23"/>
    </row>
    <row r="45" spans="1:21" ht="12.75">
      <c r="A45" s="506" t="s">
        <v>329</v>
      </c>
      <c r="B45" s="541">
        <v>0.025</v>
      </c>
      <c r="C45" s="509">
        <v>0.169</v>
      </c>
      <c r="D45" s="509">
        <v>0</v>
      </c>
      <c r="E45" s="509">
        <v>0</v>
      </c>
      <c r="F45" s="560">
        <v>0</v>
      </c>
      <c r="G45" s="551"/>
      <c r="H45" s="548"/>
      <c r="I45" s="549"/>
      <c r="J45" s="550"/>
      <c r="K45" s="550"/>
      <c r="L45" s="550"/>
      <c r="M45" s="550"/>
      <c r="N45" s="544"/>
      <c r="O45" s="544"/>
      <c r="P45" s="544"/>
      <c r="Q45" s="544"/>
      <c r="R45" s="544"/>
      <c r="S45" s="23"/>
      <c r="T45" s="23"/>
      <c r="U45" s="23"/>
    </row>
    <row r="46" spans="1:21" ht="12.75">
      <c r="A46" s="506" t="s">
        <v>330</v>
      </c>
      <c r="B46" s="541">
        <v>0.1286</v>
      </c>
      <c r="C46" s="509">
        <v>0</v>
      </c>
      <c r="D46" s="509">
        <v>0</v>
      </c>
      <c r="E46" s="509">
        <v>0</v>
      </c>
      <c r="F46" s="560">
        <v>0.1876</v>
      </c>
      <c r="G46" s="551"/>
      <c r="H46" s="548"/>
      <c r="I46" s="549"/>
      <c r="J46" s="550"/>
      <c r="K46" s="550"/>
      <c r="L46" s="550"/>
      <c r="M46" s="550"/>
      <c r="N46" s="544"/>
      <c r="O46" s="544"/>
      <c r="P46" s="544"/>
      <c r="Q46" s="544"/>
      <c r="R46" s="544"/>
      <c r="S46" s="23"/>
      <c r="T46" s="23"/>
      <c r="U46" s="23"/>
    </row>
    <row r="47" spans="1:21" ht="12.75">
      <c r="A47" s="506" t="s">
        <v>131</v>
      </c>
      <c r="B47" s="541">
        <v>0.0187</v>
      </c>
      <c r="C47" s="509">
        <v>0</v>
      </c>
      <c r="D47" s="509">
        <v>0</v>
      </c>
      <c r="E47" s="509">
        <v>0</v>
      </c>
      <c r="F47" s="560">
        <v>0</v>
      </c>
      <c r="G47" s="551"/>
      <c r="H47" s="548"/>
      <c r="I47" s="549"/>
      <c r="J47" s="550"/>
      <c r="K47" s="550"/>
      <c r="L47" s="550"/>
      <c r="M47" s="550"/>
      <c r="N47" s="544"/>
      <c r="O47" s="544"/>
      <c r="P47" s="544"/>
      <c r="Q47" s="544"/>
      <c r="R47" s="544"/>
      <c r="S47" s="23"/>
      <c r="T47" s="23"/>
      <c r="U47" s="23"/>
    </row>
    <row r="48" spans="1:21" ht="12.75">
      <c r="A48" s="506" t="s">
        <v>331</v>
      </c>
      <c r="B48" s="541">
        <v>0</v>
      </c>
      <c r="C48" s="509">
        <v>0</v>
      </c>
      <c r="D48" s="509">
        <v>0</v>
      </c>
      <c r="E48" s="509">
        <v>0</v>
      </c>
      <c r="F48" s="560">
        <v>0</v>
      </c>
      <c r="G48" s="551"/>
      <c r="H48" s="548"/>
      <c r="I48" s="549"/>
      <c r="J48" s="550"/>
      <c r="K48" s="550"/>
      <c r="L48" s="550"/>
      <c r="M48" s="550"/>
      <c r="N48" s="544"/>
      <c r="O48" s="544"/>
      <c r="P48" s="544"/>
      <c r="Q48" s="544"/>
      <c r="R48" s="544"/>
      <c r="S48" s="23"/>
      <c r="T48" s="23"/>
      <c r="U48" s="23"/>
    </row>
    <row r="49" spans="1:21" ht="12.75">
      <c r="A49" s="506" t="s">
        <v>12</v>
      </c>
      <c r="B49" s="541">
        <v>0.0374</v>
      </c>
      <c r="C49" s="509">
        <v>0.0967</v>
      </c>
      <c r="D49" s="509">
        <v>0.0143</v>
      </c>
      <c r="E49" s="509">
        <v>0.1303</v>
      </c>
      <c r="F49" s="560">
        <v>0</v>
      </c>
      <c r="G49" s="551"/>
      <c r="H49" s="548"/>
      <c r="I49" s="549"/>
      <c r="J49" s="550"/>
      <c r="K49" s="550"/>
      <c r="L49" s="550"/>
      <c r="M49" s="550"/>
      <c r="N49" s="544"/>
      <c r="O49" s="544"/>
      <c r="P49" s="544"/>
      <c r="Q49" s="544"/>
      <c r="R49" s="544"/>
      <c r="S49" s="23"/>
      <c r="T49" s="23"/>
      <c r="U49" s="23"/>
    </row>
    <row r="50" spans="1:21" ht="12.75">
      <c r="A50" s="506" t="s">
        <v>332</v>
      </c>
      <c r="B50" s="541">
        <v>0.019</v>
      </c>
      <c r="C50" s="509">
        <v>0.0148</v>
      </c>
      <c r="D50" s="509">
        <v>0</v>
      </c>
      <c r="E50" s="509">
        <v>0</v>
      </c>
      <c r="F50" s="560">
        <v>0</v>
      </c>
      <c r="G50" s="551"/>
      <c r="H50" s="548"/>
      <c r="I50" s="549"/>
      <c r="J50" s="550"/>
      <c r="K50" s="550"/>
      <c r="L50" s="550"/>
      <c r="M50" s="550"/>
      <c r="N50" s="544"/>
      <c r="O50" s="544"/>
      <c r="P50" s="544"/>
      <c r="Q50" s="544"/>
      <c r="R50" s="544"/>
      <c r="S50" s="23"/>
      <c r="T50" s="23"/>
      <c r="U50" s="23"/>
    </row>
    <row r="51" spans="1:21" ht="12.75">
      <c r="A51" s="506" t="s">
        <v>119</v>
      </c>
      <c r="B51" s="541">
        <v>0.0044</v>
      </c>
      <c r="C51" s="509">
        <v>0.0095</v>
      </c>
      <c r="D51" s="509">
        <v>0.0009</v>
      </c>
      <c r="E51" s="509">
        <v>0.012</v>
      </c>
      <c r="F51" s="560">
        <v>0</v>
      </c>
      <c r="G51" s="551"/>
      <c r="H51" s="548"/>
      <c r="I51" s="549"/>
      <c r="J51" s="550"/>
      <c r="K51" s="550"/>
      <c r="L51" s="550"/>
      <c r="M51" s="550"/>
      <c r="N51" s="544"/>
      <c r="O51" s="544"/>
      <c r="P51" s="544"/>
      <c r="Q51" s="544"/>
      <c r="R51" s="544"/>
      <c r="S51" s="23"/>
      <c r="T51" s="23"/>
      <c r="U51" s="23"/>
    </row>
    <row r="52" spans="1:21" ht="12.75">
      <c r="A52" s="506" t="s">
        <v>9</v>
      </c>
      <c r="B52" s="541">
        <v>0.0534</v>
      </c>
      <c r="C52" s="509">
        <v>0.3088</v>
      </c>
      <c r="D52" s="509">
        <v>0</v>
      </c>
      <c r="E52" s="509">
        <v>0.5193</v>
      </c>
      <c r="F52" s="560">
        <v>0</v>
      </c>
      <c r="G52" s="551"/>
      <c r="H52" s="548"/>
      <c r="I52" s="549"/>
      <c r="J52" s="550"/>
      <c r="K52" s="550"/>
      <c r="L52" s="550"/>
      <c r="M52" s="550"/>
      <c r="N52" s="544"/>
      <c r="O52" s="544"/>
      <c r="P52" s="544"/>
      <c r="Q52" s="544"/>
      <c r="R52" s="544"/>
      <c r="S52" s="23"/>
      <c r="T52" s="23"/>
      <c r="U52" s="23"/>
    </row>
    <row r="53" spans="1:21" ht="12.75">
      <c r="A53" s="506" t="s">
        <v>333</v>
      </c>
      <c r="B53" s="541">
        <v>0.0189</v>
      </c>
      <c r="C53" s="509">
        <v>0</v>
      </c>
      <c r="D53" s="509">
        <v>0.0363</v>
      </c>
      <c r="E53" s="509">
        <v>0</v>
      </c>
      <c r="F53" s="560">
        <v>0.0005</v>
      </c>
      <c r="G53" s="551"/>
      <c r="H53" s="548"/>
      <c r="I53" s="549"/>
      <c r="J53" s="550"/>
      <c r="K53" s="550"/>
      <c r="L53" s="550"/>
      <c r="M53" s="550"/>
      <c r="N53" s="544"/>
      <c r="O53" s="544"/>
      <c r="P53" s="544"/>
      <c r="Q53" s="544"/>
      <c r="R53" s="544"/>
      <c r="S53" s="23"/>
      <c r="T53" s="23"/>
      <c r="U53" s="23"/>
    </row>
    <row r="54" spans="1:21" ht="12.75">
      <c r="A54" s="506" t="s">
        <v>15</v>
      </c>
      <c r="B54" s="541">
        <v>0.0399</v>
      </c>
      <c r="C54" s="509">
        <v>0</v>
      </c>
      <c r="D54" s="509">
        <v>0.0127</v>
      </c>
      <c r="E54" s="509">
        <v>0.0058</v>
      </c>
      <c r="F54" s="560">
        <v>0.0521</v>
      </c>
      <c r="G54" s="551"/>
      <c r="H54" s="548"/>
      <c r="I54" s="549"/>
      <c r="J54" s="550"/>
      <c r="K54" s="550"/>
      <c r="L54" s="550"/>
      <c r="M54" s="550"/>
      <c r="N54" s="544"/>
      <c r="O54" s="544"/>
      <c r="P54" s="544"/>
      <c r="Q54" s="544"/>
      <c r="R54" s="544"/>
      <c r="S54" s="23"/>
      <c r="T54" s="23"/>
      <c r="U54" s="23"/>
    </row>
    <row r="55" spans="1:29" ht="12.75">
      <c r="A55" s="506" t="s">
        <v>334</v>
      </c>
      <c r="B55" s="541">
        <v>0.0484</v>
      </c>
      <c r="C55" s="509">
        <v>0.1646</v>
      </c>
      <c r="D55" s="509">
        <v>0</v>
      </c>
      <c r="E55" s="509">
        <v>0</v>
      </c>
      <c r="F55" s="560">
        <v>0</v>
      </c>
      <c r="G55" s="551"/>
      <c r="H55" s="548"/>
      <c r="I55" s="549"/>
      <c r="J55" s="550"/>
      <c r="K55" s="550"/>
      <c r="L55" s="550"/>
      <c r="M55" s="550"/>
      <c r="N55" s="544"/>
      <c r="O55" s="544"/>
      <c r="P55" s="544"/>
      <c r="Q55" s="544"/>
      <c r="R55" s="544"/>
      <c r="S55" s="34"/>
      <c r="T55" s="34"/>
      <c r="U55" s="34"/>
      <c r="V55" s="15"/>
      <c r="W55" s="15"/>
      <c r="X55" s="15"/>
      <c r="Y55" s="15"/>
      <c r="Z55" s="15"/>
      <c r="AA55" s="15"/>
      <c r="AB55" s="15"/>
      <c r="AC55" s="15"/>
    </row>
    <row r="56" spans="1:21" ht="12.75">
      <c r="A56" s="506" t="s">
        <v>335</v>
      </c>
      <c r="B56" s="541">
        <v>0.0626</v>
      </c>
      <c r="C56" s="509">
        <v>0.1411</v>
      </c>
      <c r="D56" s="509">
        <v>0.8573</v>
      </c>
      <c r="E56" s="509">
        <v>0.3199</v>
      </c>
      <c r="F56" s="560">
        <v>0</v>
      </c>
      <c r="G56" s="551"/>
      <c r="H56" s="548"/>
      <c r="I56" s="549"/>
      <c r="J56" s="550"/>
      <c r="K56" s="550"/>
      <c r="L56" s="550"/>
      <c r="M56" s="550"/>
      <c r="N56" s="544"/>
      <c r="O56" s="544"/>
      <c r="P56" s="544"/>
      <c r="Q56" s="544"/>
      <c r="R56" s="544"/>
      <c r="S56" s="23"/>
      <c r="T56" s="23"/>
      <c r="U56" s="23"/>
    </row>
    <row r="57" spans="1:21" ht="12.75">
      <c r="A57" s="506" t="s">
        <v>336</v>
      </c>
      <c r="B57" s="541">
        <v>0.0026</v>
      </c>
      <c r="C57" s="509">
        <v>0.0052</v>
      </c>
      <c r="D57" s="509">
        <v>0.034</v>
      </c>
      <c r="E57" s="509">
        <v>0.0127</v>
      </c>
      <c r="F57" s="560">
        <v>0</v>
      </c>
      <c r="G57" s="551"/>
      <c r="H57" s="548"/>
      <c r="I57" s="549"/>
      <c r="J57" s="550"/>
      <c r="K57" s="550"/>
      <c r="L57" s="550"/>
      <c r="M57" s="550"/>
      <c r="N57" s="544"/>
      <c r="O57" s="544"/>
      <c r="P57" s="544"/>
      <c r="Q57" s="544"/>
      <c r="R57" s="544"/>
      <c r="S57" s="23"/>
      <c r="T57" s="23"/>
      <c r="U57" s="23"/>
    </row>
    <row r="58" spans="1:21" ht="13.5" thickBot="1">
      <c r="A58" s="507" t="s">
        <v>337</v>
      </c>
      <c r="B58" s="512">
        <v>0</v>
      </c>
      <c r="C58" s="510">
        <v>0</v>
      </c>
      <c r="D58" s="510">
        <v>0</v>
      </c>
      <c r="E58" s="510">
        <v>0</v>
      </c>
      <c r="F58" s="561">
        <v>0</v>
      </c>
      <c r="G58" s="551"/>
      <c r="H58" s="548"/>
      <c r="I58" s="551"/>
      <c r="J58" s="550"/>
      <c r="K58" s="550"/>
      <c r="L58" s="550"/>
      <c r="M58" s="550"/>
      <c r="N58" s="544"/>
      <c r="O58" s="544"/>
      <c r="P58" s="544"/>
      <c r="Q58" s="544"/>
      <c r="R58" s="544"/>
      <c r="S58" s="23"/>
      <c r="T58" s="23"/>
      <c r="U58" s="23"/>
    </row>
    <row r="59" spans="1:21" ht="13.5" thickBot="1">
      <c r="A59" s="542"/>
      <c r="B59" s="556">
        <f>SUM(B35:B58)</f>
        <v>1.0000000000000002</v>
      </c>
      <c r="C59" s="556">
        <f>SUM(C35:C58)</f>
        <v>1</v>
      </c>
      <c r="D59" s="556">
        <f>SUM(D35:D58)</f>
        <v>1</v>
      </c>
      <c r="E59" s="556">
        <f>SUM(E35:E58)</f>
        <v>1</v>
      </c>
      <c r="F59" s="556">
        <f>SUM(F35:F58)</f>
        <v>1</v>
      </c>
      <c r="G59" s="158"/>
      <c r="H59" s="552"/>
      <c r="I59" s="158"/>
      <c r="J59" s="158"/>
      <c r="K59" s="158"/>
      <c r="L59" s="158"/>
      <c r="M59" s="158"/>
      <c r="N59" s="34"/>
      <c r="O59" s="34"/>
      <c r="P59" s="34"/>
      <c r="Q59" s="34"/>
      <c r="R59" s="34"/>
      <c r="S59" s="23"/>
      <c r="T59" s="23"/>
      <c r="U59" s="23"/>
    </row>
    <row r="60" spans="1:21" ht="12.75">
      <c r="A60" s="645" t="s">
        <v>351</v>
      </c>
      <c r="B60" s="646"/>
      <c r="C60" s="646"/>
      <c r="D60" s="646"/>
      <c r="E60" s="646"/>
      <c r="F60" s="646"/>
      <c r="G60" s="646"/>
      <c r="H60" s="23"/>
      <c r="I60" s="665"/>
      <c r="J60" s="665"/>
      <c r="K60" s="665"/>
      <c r="L60" s="665"/>
      <c r="M60" s="23"/>
      <c r="N60" s="23"/>
      <c r="O60" s="23"/>
      <c r="P60" s="23"/>
      <c r="Q60" s="23"/>
      <c r="R60" s="23"/>
      <c r="S60" s="23"/>
      <c r="T60" s="23"/>
      <c r="U60" s="23"/>
    </row>
    <row r="61" spans="1:21" ht="12.75">
      <c r="A61" s="25"/>
      <c r="B61" s="158"/>
      <c r="C61" s="158"/>
      <c r="D61" s="158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  <row r="62" spans="1:21" ht="13.5" thickBot="1">
      <c r="A62" s="25"/>
      <c r="B62" s="158"/>
      <c r="C62" s="158"/>
      <c r="D62" s="158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</row>
    <row r="63" spans="1:21" ht="13.5" thickBot="1">
      <c r="A63" s="657" t="s">
        <v>169</v>
      </c>
      <c r="B63" s="179"/>
      <c r="C63" s="179"/>
      <c r="D63" s="42"/>
      <c r="E63" s="23"/>
      <c r="F63" s="120" t="s">
        <v>24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</row>
    <row r="64" spans="1:28" ht="13.5" thickBot="1">
      <c r="A64" s="658"/>
      <c r="B64" s="651" t="s">
        <v>29</v>
      </c>
      <c r="C64" s="652"/>
      <c r="D64" s="652"/>
      <c r="E64" s="653"/>
      <c r="F64" s="651" t="s">
        <v>35</v>
      </c>
      <c r="G64" s="653"/>
      <c r="H64" s="651" t="s">
        <v>5</v>
      </c>
      <c r="I64" s="652"/>
      <c r="J64" s="652"/>
      <c r="K64" s="653"/>
      <c r="L64" s="651" t="s">
        <v>8</v>
      </c>
      <c r="M64" s="652"/>
      <c r="N64" s="652"/>
      <c r="O64" s="652"/>
      <c r="P64" s="653"/>
      <c r="Q64" s="671" t="s">
        <v>36</v>
      </c>
      <c r="R64" s="672"/>
      <c r="S64" s="672"/>
      <c r="T64" s="673"/>
      <c r="U64" s="651" t="s">
        <v>11</v>
      </c>
      <c r="V64" s="652"/>
      <c r="W64" s="652"/>
      <c r="X64" s="653"/>
      <c r="Y64" s="651" t="s">
        <v>15</v>
      </c>
      <c r="Z64" s="653"/>
      <c r="AA64" s="651" t="s">
        <v>37</v>
      </c>
      <c r="AB64" s="653"/>
    </row>
    <row r="65" spans="1:28" ht="26.25" thickBot="1">
      <c r="A65" s="659"/>
      <c r="B65" s="654" t="s">
        <v>43</v>
      </c>
      <c r="C65" s="655"/>
      <c r="D65" s="656"/>
      <c r="E65" s="159">
        <f>'2nd IA Load Pricing Results'!D14</f>
        <v>0</v>
      </c>
      <c r="F65" s="538" t="s">
        <v>43</v>
      </c>
      <c r="G65" s="278">
        <f>'2nd IA Load Pricing Results'!D15-'2nd IA Load Pricing Results'!D14</f>
        <v>19.738706495349305</v>
      </c>
      <c r="H65" s="660" t="s">
        <v>43</v>
      </c>
      <c r="I65" s="661"/>
      <c r="J65" s="662"/>
      <c r="K65" s="279">
        <f>'2nd IA Load Pricing Results'!D16-'2nd IA Load Pricing Results'!D14</f>
        <v>0</v>
      </c>
      <c r="L65" s="668" t="s">
        <v>43</v>
      </c>
      <c r="M65" s="669"/>
      <c r="N65" s="669"/>
      <c r="O65" s="670"/>
      <c r="P65" s="276">
        <f>'2nd IA Load Pricing Results'!D26</f>
        <v>0</v>
      </c>
      <c r="Q65" s="676" t="s">
        <v>43</v>
      </c>
      <c r="R65" s="677"/>
      <c r="S65" s="677"/>
      <c r="T65" s="279">
        <f>'2nd IA Load Pricing Results'!D27</f>
        <v>0</v>
      </c>
      <c r="U65" s="660" t="s">
        <v>43</v>
      </c>
      <c r="V65" s="661"/>
      <c r="W65" s="662"/>
      <c r="X65" s="253">
        <f>'2nd IA Load Pricing Results'!D19-'2nd IA Load Pricing Results'!D16</f>
        <v>-0.8906736066104991</v>
      </c>
      <c r="Y65" s="281" t="s">
        <v>43</v>
      </c>
      <c r="Z65" s="282">
        <f>'2nd IA Load Pricing Results'!D17-'2nd IA Load Pricing Results'!D16</f>
        <v>0</v>
      </c>
      <c r="AA65" s="281" t="s">
        <v>43</v>
      </c>
      <c r="AB65" s="282">
        <f>'2nd IA Load Pricing Results'!D30</f>
        <v>0</v>
      </c>
    </row>
    <row r="66" spans="1:28" ht="64.5" thickBot="1">
      <c r="A66" s="161" t="s">
        <v>62</v>
      </c>
      <c r="B66" s="162" t="s">
        <v>109</v>
      </c>
      <c r="C66" s="156" t="s">
        <v>110</v>
      </c>
      <c r="D66" s="163" t="s">
        <v>63</v>
      </c>
      <c r="E66" s="164" t="s">
        <v>77</v>
      </c>
      <c r="F66" s="162" t="s">
        <v>109</v>
      </c>
      <c r="G66" s="164" t="s">
        <v>77</v>
      </c>
      <c r="H66" s="272" t="s">
        <v>109</v>
      </c>
      <c r="I66" s="251" t="s">
        <v>110</v>
      </c>
      <c r="J66" s="277" t="s">
        <v>63</v>
      </c>
      <c r="K66" s="269" t="s">
        <v>77</v>
      </c>
      <c r="L66" s="162" t="s">
        <v>109</v>
      </c>
      <c r="M66" s="156" t="s">
        <v>111</v>
      </c>
      <c r="N66" s="156" t="s">
        <v>112</v>
      </c>
      <c r="O66" s="163" t="s">
        <v>63</v>
      </c>
      <c r="P66" s="164" t="s">
        <v>77</v>
      </c>
      <c r="Q66" s="272" t="s">
        <v>109</v>
      </c>
      <c r="R66" s="251" t="s">
        <v>111</v>
      </c>
      <c r="S66" s="277" t="s">
        <v>63</v>
      </c>
      <c r="T66" s="280" t="s">
        <v>77</v>
      </c>
      <c r="U66" s="251" t="s">
        <v>110</v>
      </c>
      <c r="V66" s="283" t="s">
        <v>150</v>
      </c>
      <c r="W66" s="277" t="s">
        <v>63</v>
      </c>
      <c r="X66" s="252" t="s">
        <v>77</v>
      </c>
      <c r="Y66" s="647" t="s">
        <v>141</v>
      </c>
      <c r="Z66" s="648"/>
      <c r="AA66" s="647" t="s">
        <v>141</v>
      </c>
      <c r="AB66" s="648"/>
    </row>
    <row r="67" spans="1:28" ht="12.75">
      <c r="A67" s="505" t="s">
        <v>16</v>
      </c>
      <c r="B67" s="139">
        <f>B35*$C$13</f>
        <v>9.579664972134282</v>
      </c>
      <c r="C67" s="165">
        <f>C35*$C$15</f>
        <v>1.1548159356322474</v>
      </c>
      <c r="D67" s="165">
        <f>B67+C67</f>
        <v>10.734480907766528</v>
      </c>
      <c r="E67" s="55">
        <f>D67*$E$65</f>
        <v>0</v>
      </c>
      <c r="F67" s="139">
        <f>B35*$D$13</f>
        <v>14.9068</v>
      </c>
      <c r="G67" s="142">
        <f>F67*$G$65</f>
        <v>294.24094998487305</v>
      </c>
      <c r="H67" s="139">
        <f>B35*$E$13</f>
        <v>4.2496</v>
      </c>
      <c r="I67" s="165">
        <f>C35*$E$15</f>
        <v>21.4011</v>
      </c>
      <c r="J67" s="165">
        <f>H67+I67</f>
        <v>25.6507</v>
      </c>
      <c r="K67" s="270">
        <f>J67*$K$65</f>
        <v>0</v>
      </c>
      <c r="L67" s="139">
        <f aca="true" t="shared" si="4" ref="L67:L90">B35*$F$13</f>
        <v>1.1437400000000002</v>
      </c>
      <c r="M67" s="165">
        <f aca="true" t="shared" si="5" ref="M67:M90">D35*$F$16</f>
        <v>0.95256</v>
      </c>
      <c r="N67" s="165">
        <f aca="true" t="shared" si="6" ref="N67:N90">E35*$F$17</f>
        <v>0</v>
      </c>
      <c r="O67" s="165">
        <f>L67+M67+N67</f>
        <v>2.0963000000000003</v>
      </c>
      <c r="P67" s="55">
        <f>O67*$P$65</f>
        <v>0</v>
      </c>
      <c r="Q67" s="139">
        <f aca="true" t="shared" si="7" ref="Q67:Q90">B35*$G$13</f>
        <v>1.7513</v>
      </c>
      <c r="R67" s="165">
        <f aca="true" t="shared" si="8" ref="R67:R90">D35*$G$16</f>
        <v>1.3846</v>
      </c>
      <c r="S67" s="165">
        <f aca="true" t="shared" si="9" ref="S67:S89">Q67+R67</f>
        <v>3.1359000000000004</v>
      </c>
      <c r="T67" s="254">
        <f aca="true" t="shared" si="10" ref="T67:T90">S67*$T$65</f>
        <v>0</v>
      </c>
      <c r="U67" s="165">
        <f>C35*$L$15</f>
        <v>0</v>
      </c>
      <c r="V67" s="256">
        <f>F35*$L$18</f>
        <v>0</v>
      </c>
      <c r="W67" s="273">
        <f aca="true" t="shared" si="11" ref="W67:W90">U67+V67</f>
        <v>0</v>
      </c>
      <c r="X67" s="142">
        <f>W67*$X$65</f>
        <v>0</v>
      </c>
      <c r="Y67" s="36"/>
      <c r="Z67" s="36"/>
      <c r="AA67" s="4"/>
      <c r="AB67" s="4"/>
    </row>
    <row r="68" spans="1:28" ht="12.75">
      <c r="A68" s="506" t="s">
        <v>30</v>
      </c>
      <c r="B68" s="139">
        <f aca="true" t="shared" si="12" ref="B68:B90">B36*$C$13</f>
        <v>81.71569638880808</v>
      </c>
      <c r="C68" s="165">
        <f aca="true" t="shared" si="13" ref="C68:C90">C36*$C$15</f>
        <v>0</v>
      </c>
      <c r="D68" s="165">
        <f>B68+C68</f>
        <v>81.71569638880808</v>
      </c>
      <c r="E68" s="55">
        <f>D68*$E$65</f>
        <v>0</v>
      </c>
      <c r="F68" s="139">
        <f aca="true" t="shared" si="14" ref="F68:F90">B36*$D$13</f>
        <v>127.1568</v>
      </c>
      <c r="G68" s="142">
        <f>F68*$G$65</f>
        <v>2509.9107540878326</v>
      </c>
      <c r="H68" s="139">
        <f aca="true" t="shared" si="15" ref="H68:H90">B36*$E$13</f>
        <v>36.2496</v>
      </c>
      <c r="I68" s="165">
        <f aca="true" t="shared" si="16" ref="I68:I90">C36*$E$15</f>
        <v>0</v>
      </c>
      <c r="J68" s="165">
        <f aca="true" t="shared" si="17" ref="J68:J90">H68+I68</f>
        <v>36.2496</v>
      </c>
      <c r="K68" s="270">
        <f>J68*$K$65</f>
        <v>0</v>
      </c>
      <c r="L68" s="139">
        <f t="shared" si="4"/>
        <v>9.756240000000002</v>
      </c>
      <c r="M68" s="165">
        <f t="shared" si="5"/>
        <v>0</v>
      </c>
      <c r="N68" s="165">
        <f t="shared" si="6"/>
        <v>0</v>
      </c>
      <c r="O68" s="165">
        <f>L68+M68+N68</f>
        <v>9.756240000000002</v>
      </c>
      <c r="P68" s="55">
        <f aca="true" t="shared" si="18" ref="P68:P90">O68*$P$65</f>
        <v>0</v>
      </c>
      <c r="Q68" s="139">
        <f t="shared" si="7"/>
        <v>14.9388</v>
      </c>
      <c r="R68" s="165">
        <f t="shared" si="8"/>
        <v>0</v>
      </c>
      <c r="S68" s="165">
        <f t="shared" si="9"/>
        <v>14.9388</v>
      </c>
      <c r="T68" s="254">
        <f t="shared" si="10"/>
        <v>0</v>
      </c>
      <c r="U68" s="165">
        <f aca="true" t="shared" si="19" ref="U68:U89">C36*$L$15</f>
        <v>0</v>
      </c>
      <c r="V68" s="256">
        <f aca="true" t="shared" si="20" ref="V68:V89">F36*$L$18</f>
        <v>0</v>
      </c>
      <c r="W68" s="273">
        <f t="shared" si="11"/>
        <v>0</v>
      </c>
      <c r="X68" s="142">
        <f aca="true" t="shared" si="21" ref="X68:X90">W68*$X$65</f>
        <v>0</v>
      </c>
      <c r="Y68" s="36"/>
      <c r="Z68" s="36"/>
      <c r="AA68" s="4"/>
      <c r="AB68" s="4"/>
    </row>
    <row r="69" spans="1:28" ht="12.75">
      <c r="A69" s="506" t="s">
        <v>19</v>
      </c>
      <c r="B69" s="139">
        <f t="shared" si="12"/>
        <v>33.06715680140327</v>
      </c>
      <c r="C69" s="165">
        <f t="shared" si="13"/>
        <v>0</v>
      </c>
      <c r="D69" s="165">
        <f>B69+C69</f>
        <v>33.06715680140327</v>
      </c>
      <c r="E69" s="55">
        <f aca="true" t="shared" si="22" ref="E69:E89">D69*$E$65</f>
        <v>0</v>
      </c>
      <c r="F69" s="139">
        <f t="shared" si="14"/>
        <v>51.4554</v>
      </c>
      <c r="G69" s="142">
        <f>F69*$G$65</f>
        <v>1015.6630382007966</v>
      </c>
      <c r="H69" s="139">
        <f t="shared" si="15"/>
        <v>14.6688</v>
      </c>
      <c r="I69" s="165">
        <f t="shared" si="16"/>
        <v>0</v>
      </c>
      <c r="J69" s="165">
        <f t="shared" si="17"/>
        <v>14.6688</v>
      </c>
      <c r="K69" s="270">
        <f>J69*$K$65</f>
        <v>0</v>
      </c>
      <c r="L69" s="139">
        <f t="shared" si="4"/>
        <v>3.94797</v>
      </c>
      <c r="M69" s="165">
        <f t="shared" si="5"/>
        <v>0</v>
      </c>
      <c r="N69" s="165">
        <f t="shared" si="6"/>
        <v>0</v>
      </c>
      <c r="O69" s="165">
        <f>L69+M69+N69</f>
        <v>3.94797</v>
      </c>
      <c r="P69" s="55">
        <f t="shared" si="18"/>
        <v>0</v>
      </c>
      <c r="Q69" s="139">
        <f t="shared" si="7"/>
        <v>6.04515</v>
      </c>
      <c r="R69" s="165">
        <f t="shared" si="8"/>
        <v>0</v>
      </c>
      <c r="S69" s="165">
        <f t="shared" si="9"/>
        <v>6.04515</v>
      </c>
      <c r="T69" s="254">
        <f t="shared" si="10"/>
        <v>0</v>
      </c>
      <c r="U69" s="165">
        <f t="shared" si="19"/>
        <v>0</v>
      </c>
      <c r="V69" s="256">
        <f t="shared" si="20"/>
        <v>0</v>
      </c>
      <c r="W69" s="273">
        <f t="shared" si="11"/>
        <v>0</v>
      </c>
      <c r="X69" s="142">
        <f t="shared" si="21"/>
        <v>0</v>
      </c>
      <c r="Y69" s="36"/>
      <c r="Z69" s="36"/>
      <c r="AA69" s="4"/>
      <c r="AB69" s="4"/>
    </row>
    <row r="70" spans="1:28" ht="12.75">
      <c r="A70" s="506" t="s">
        <v>45</v>
      </c>
      <c r="B70" s="139">
        <f t="shared" si="12"/>
        <v>45.474554205071165</v>
      </c>
      <c r="C70" s="165">
        <f t="shared" si="13"/>
        <v>0</v>
      </c>
      <c r="D70" s="165">
        <f aca="true" t="shared" si="23" ref="D70:D89">B70+C70</f>
        <v>45.474554205071165</v>
      </c>
      <c r="E70" s="55">
        <f t="shared" si="22"/>
        <v>0</v>
      </c>
      <c r="F70" s="139">
        <f t="shared" si="14"/>
        <v>70.7624</v>
      </c>
      <c r="G70" s="142">
        <f aca="true" t="shared" si="24" ref="G70:G90">F70*$G$65</f>
        <v>1396.7582445065057</v>
      </c>
      <c r="H70" s="139">
        <f t="shared" si="15"/>
        <v>20.1728</v>
      </c>
      <c r="I70" s="165">
        <f t="shared" si="16"/>
        <v>0</v>
      </c>
      <c r="J70" s="165">
        <f t="shared" si="17"/>
        <v>20.1728</v>
      </c>
      <c r="K70" s="270">
        <f>J70*$K$65</f>
        <v>0</v>
      </c>
      <c r="L70" s="139">
        <f t="shared" si="4"/>
        <v>5.42932</v>
      </c>
      <c r="M70" s="165">
        <f t="shared" si="5"/>
        <v>0</v>
      </c>
      <c r="N70" s="165">
        <f t="shared" si="6"/>
        <v>0</v>
      </c>
      <c r="O70" s="165">
        <f aca="true" t="shared" si="25" ref="O70:O85">L70+M70+N70</f>
        <v>5.42932</v>
      </c>
      <c r="P70" s="55">
        <f t="shared" si="18"/>
        <v>0</v>
      </c>
      <c r="Q70" s="139">
        <f t="shared" si="7"/>
        <v>8.3134</v>
      </c>
      <c r="R70" s="165">
        <f t="shared" si="8"/>
        <v>0</v>
      </c>
      <c r="S70" s="165">
        <f t="shared" si="9"/>
        <v>8.3134</v>
      </c>
      <c r="T70" s="254">
        <f t="shared" si="10"/>
        <v>0</v>
      </c>
      <c r="U70" s="165">
        <f t="shared" si="19"/>
        <v>0</v>
      </c>
      <c r="V70" s="256">
        <f t="shared" si="20"/>
        <v>0</v>
      </c>
      <c r="W70" s="273">
        <f t="shared" si="11"/>
        <v>0</v>
      </c>
      <c r="X70" s="142">
        <f t="shared" si="21"/>
        <v>0</v>
      </c>
      <c r="Y70" s="36"/>
      <c r="Z70" s="36"/>
      <c r="AA70" s="4"/>
      <c r="AB70" s="4"/>
    </row>
    <row r="71" spans="1:28" ht="12.75">
      <c r="A71" s="506" t="s">
        <v>11</v>
      </c>
      <c r="B71" s="139">
        <f t="shared" si="12"/>
        <v>24.353124206269076</v>
      </c>
      <c r="C71" s="165">
        <f t="shared" si="13"/>
        <v>0</v>
      </c>
      <c r="D71" s="165">
        <f t="shared" si="23"/>
        <v>24.353124206269076</v>
      </c>
      <c r="E71" s="55">
        <f t="shared" si="22"/>
        <v>0</v>
      </c>
      <c r="F71" s="139">
        <f t="shared" si="14"/>
        <v>37.8956</v>
      </c>
      <c r="G71" s="142">
        <f t="shared" si="24"/>
        <v>748.0101258651591</v>
      </c>
      <c r="H71" s="139">
        <f t="shared" si="15"/>
        <v>10.8032</v>
      </c>
      <c r="I71" s="165">
        <f t="shared" si="16"/>
        <v>0</v>
      </c>
      <c r="J71" s="165">
        <f t="shared" si="17"/>
        <v>10.8032</v>
      </c>
      <c r="K71" s="270">
        <f aca="true" t="shared" si="26" ref="K71:K85">J71*$K$65</f>
        <v>0</v>
      </c>
      <c r="L71" s="139">
        <f t="shared" si="4"/>
        <v>2.9075800000000003</v>
      </c>
      <c r="M71" s="165">
        <f t="shared" si="5"/>
        <v>4.01436</v>
      </c>
      <c r="N71" s="165">
        <f t="shared" si="6"/>
        <v>0</v>
      </c>
      <c r="O71" s="165">
        <f t="shared" si="25"/>
        <v>6.92194</v>
      </c>
      <c r="P71" s="55">
        <f t="shared" si="18"/>
        <v>0</v>
      </c>
      <c r="Q71" s="139">
        <f t="shared" si="7"/>
        <v>4.4521</v>
      </c>
      <c r="R71" s="165">
        <f t="shared" si="8"/>
        <v>5.8351</v>
      </c>
      <c r="S71" s="165">
        <f t="shared" si="9"/>
        <v>10.287199999999999</v>
      </c>
      <c r="T71" s="254">
        <f t="shared" si="10"/>
        <v>0</v>
      </c>
      <c r="U71" s="165">
        <f t="shared" si="19"/>
        <v>0</v>
      </c>
      <c r="V71" s="256">
        <f t="shared" si="20"/>
        <v>0</v>
      </c>
      <c r="W71" s="273">
        <f t="shared" si="11"/>
        <v>0</v>
      </c>
      <c r="X71" s="142">
        <f t="shared" si="21"/>
        <v>0</v>
      </c>
      <c r="Y71" s="36"/>
      <c r="Z71" s="36"/>
      <c r="AA71" s="4"/>
      <c r="AB71" s="4"/>
    </row>
    <row r="72" spans="1:28" ht="12.75">
      <c r="A72" s="506" t="s">
        <v>325</v>
      </c>
      <c r="B72" s="139">
        <f t="shared" si="12"/>
        <v>76.81044625247426</v>
      </c>
      <c r="C72" s="165">
        <f t="shared" si="13"/>
        <v>0</v>
      </c>
      <c r="D72" s="165">
        <f t="shared" si="23"/>
        <v>76.81044625247426</v>
      </c>
      <c r="E72" s="55">
        <f t="shared" si="22"/>
        <v>0</v>
      </c>
      <c r="F72" s="139">
        <f t="shared" si="14"/>
        <v>119.5238</v>
      </c>
      <c r="G72" s="142">
        <f t="shared" si="24"/>
        <v>2359.245207408831</v>
      </c>
      <c r="H72" s="139">
        <f t="shared" si="15"/>
        <v>34.0736</v>
      </c>
      <c r="I72" s="165">
        <f t="shared" si="16"/>
        <v>0</v>
      </c>
      <c r="J72" s="165">
        <f t="shared" si="17"/>
        <v>34.0736</v>
      </c>
      <c r="K72" s="270">
        <f t="shared" si="26"/>
        <v>0</v>
      </c>
      <c r="L72" s="139">
        <f t="shared" si="4"/>
        <v>9.17059</v>
      </c>
      <c r="M72" s="165">
        <f t="shared" si="5"/>
        <v>9.627659999999999</v>
      </c>
      <c r="N72" s="165">
        <f t="shared" si="6"/>
        <v>0</v>
      </c>
      <c r="O72" s="165">
        <f t="shared" si="25"/>
        <v>18.79825</v>
      </c>
      <c r="P72" s="55">
        <f t="shared" si="18"/>
        <v>0</v>
      </c>
      <c r="Q72" s="139">
        <f t="shared" si="7"/>
        <v>14.04205</v>
      </c>
      <c r="R72" s="165">
        <f t="shared" si="8"/>
        <v>13.994349999999999</v>
      </c>
      <c r="S72" s="165">
        <f t="shared" si="9"/>
        <v>28.0364</v>
      </c>
      <c r="T72" s="254">
        <f t="shared" si="10"/>
        <v>0</v>
      </c>
      <c r="U72" s="165">
        <f t="shared" si="19"/>
        <v>0</v>
      </c>
      <c r="V72" s="256">
        <f t="shared" si="20"/>
        <v>0</v>
      </c>
      <c r="W72" s="273">
        <f t="shared" si="11"/>
        <v>0</v>
      </c>
      <c r="X72" s="142">
        <f t="shared" si="21"/>
        <v>0</v>
      </c>
      <c r="Y72" s="36"/>
      <c r="Z72" s="36"/>
      <c r="AA72" s="4"/>
      <c r="AB72" s="4"/>
    </row>
    <row r="73" spans="1:28" ht="12.75">
      <c r="A73" s="506" t="s">
        <v>118</v>
      </c>
      <c r="B73" s="139">
        <f t="shared" si="12"/>
        <v>0</v>
      </c>
      <c r="C73" s="165">
        <f t="shared" si="13"/>
        <v>0</v>
      </c>
      <c r="D73" s="165">
        <f t="shared" si="23"/>
        <v>0</v>
      </c>
      <c r="E73" s="55">
        <f t="shared" si="22"/>
        <v>0</v>
      </c>
      <c r="F73" s="139">
        <f t="shared" si="14"/>
        <v>0</v>
      </c>
      <c r="G73" s="142">
        <f t="shared" si="24"/>
        <v>0</v>
      </c>
      <c r="H73" s="139">
        <f t="shared" si="15"/>
        <v>0</v>
      </c>
      <c r="I73" s="165">
        <f t="shared" si="16"/>
        <v>0</v>
      </c>
      <c r="J73" s="165">
        <f t="shared" si="17"/>
        <v>0</v>
      </c>
      <c r="K73" s="270">
        <f t="shared" si="26"/>
        <v>0</v>
      </c>
      <c r="L73" s="139">
        <f t="shared" si="4"/>
        <v>0</v>
      </c>
      <c r="M73" s="165">
        <f t="shared" si="5"/>
        <v>0</v>
      </c>
      <c r="N73" s="165">
        <f t="shared" si="6"/>
        <v>0</v>
      </c>
      <c r="O73" s="165">
        <f t="shared" si="25"/>
        <v>0</v>
      </c>
      <c r="P73" s="55">
        <f t="shared" si="18"/>
        <v>0</v>
      </c>
      <c r="Q73" s="139">
        <f t="shared" si="7"/>
        <v>0</v>
      </c>
      <c r="R73" s="165">
        <f t="shared" si="8"/>
        <v>0</v>
      </c>
      <c r="S73" s="165">
        <f t="shared" si="9"/>
        <v>0</v>
      </c>
      <c r="T73" s="254">
        <f t="shared" si="10"/>
        <v>0</v>
      </c>
      <c r="U73" s="165">
        <f t="shared" si="19"/>
        <v>0</v>
      </c>
      <c r="V73" s="256">
        <f t="shared" si="20"/>
        <v>0</v>
      </c>
      <c r="W73" s="273">
        <f t="shared" si="11"/>
        <v>0</v>
      </c>
      <c r="X73" s="142">
        <f t="shared" si="21"/>
        <v>0</v>
      </c>
      <c r="Y73" s="36"/>
      <c r="Z73" s="36"/>
      <c r="AA73" s="4"/>
      <c r="AB73" s="4"/>
    </row>
    <row r="74" spans="1:28" ht="12.75">
      <c r="A74" s="506" t="s">
        <v>326</v>
      </c>
      <c r="B74" s="139">
        <f t="shared" si="12"/>
        <v>12.176562103134538</v>
      </c>
      <c r="C74" s="165">
        <f t="shared" si="13"/>
        <v>0</v>
      </c>
      <c r="D74" s="165">
        <f t="shared" si="23"/>
        <v>12.176562103134538</v>
      </c>
      <c r="E74" s="55">
        <f t="shared" si="22"/>
        <v>0</v>
      </c>
      <c r="F74" s="139">
        <f t="shared" si="14"/>
        <v>18.9478</v>
      </c>
      <c r="G74" s="142">
        <f t="shared" si="24"/>
        <v>374.00506293257956</v>
      </c>
      <c r="H74" s="139">
        <f t="shared" si="15"/>
        <v>5.4016</v>
      </c>
      <c r="I74" s="165">
        <f t="shared" si="16"/>
        <v>0</v>
      </c>
      <c r="J74" s="165">
        <f t="shared" si="17"/>
        <v>5.4016</v>
      </c>
      <c r="K74" s="270">
        <f t="shared" si="26"/>
        <v>0</v>
      </c>
      <c r="L74" s="139">
        <f t="shared" si="4"/>
        <v>1.4537900000000001</v>
      </c>
      <c r="M74" s="165">
        <f t="shared" si="5"/>
        <v>0.54432</v>
      </c>
      <c r="N74" s="165">
        <f t="shared" si="6"/>
        <v>0</v>
      </c>
      <c r="O74" s="165">
        <f t="shared" si="25"/>
        <v>1.99811</v>
      </c>
      <c r="P74" s="55">
        <f t="shared" si="18"/>
        <v>0</v>
      </c>
      <c r="Q74" s="139">
        <f t="shared" si="7"/>
        <v>2.22605</v>
      </c>
      <c r="R74" s="165">
        <f t="shared" si="8"/>
        <v>0.7912</v>
      </c>
      <c r="S74" s="165">
        <f t="shared" si="9"/>
        <v>3.0172499999999998</v>
      </c>
      <c r="T74" s="254">
        <f t="shared" si="10"/>
        <v>0</v>
      </c>
      <c r="U74" s="165">
        <f t="shared" si="19"/>
        <v>0</v>
      </c>
      <c r="V74" s="256">
        <f t="shared" si="20"/>
        <v>0</v>
      </c>
      <c r="W74" s="273">
        <f t="shared" si="11"/>
        <v>0</v>
      </c>
      <c r="X74" s="142">
        <f t="shared" si="21"/>
        <v>0</v>
      </c>
      <c r="Y74" s="36"/>
      <c r="Z74" s="36"/>
      <c r="AA74" s="4"/>
      <c r="AB74" s="4"/>
    </row>
    <row r="75" spans="1:28" ht="12.75">
      <c r="A75" s="506" t="s">
        <v>327</v>
      </c>
      <c r="B75" s="139">
        <f t="shared" si="12"/>
        <v>18.986203468868545</v>
      </c>
      <c r="C75" s="165">
        <f t="shared" si="13"/>
        <v>0</v>
      </c>
      <c r="D75" s="165">
        <f t="shared" si="23"/>
        <v>18.986203468868545</v>
      </c>
      <c r="E75" s="55">
        <f t="shared" si="22"/>
        <v>0</v>
      </c>
      <c r="F75" s="139">
        <f t="shared" si="14"/>
        <v>29.5442</v>
      </c>
      <c r="G75" s="142">
        <f t="shared" si="24"/>
        <v>583.164292439899</v>
      </c>
      <c r="H75" s="139">
        <f t="shared" si="15"/>
        <v>8.4224</v>
      </c>
      <c r="I75" s="165">
        <f t="shared" si="16"/>
        <v>0</v>
      </c>
      <c r="J75" s="165">
        <f t="shared" si="17"/>
        <v>8.4224</v>
      </c>
      <c r="K75" s="270">
        <f t="shared" si="26"/>
        <v>0</v>
      </c>
      <c r="L75" s="139">
        <f t="shared" si="4"/>
        <v>2.26681</v>
      </c>
      <c r="M75" s="165">
        <f t="shared" si="5"/>
        <v>0</v>
      </c>
      <c r="N75" s="165">
        <f t="shared" si="6"/>
        <v>0</v>
      </c>
      <c r="O75" s="165">
        <f t="shared" si="25"/>
        <v>2.26681</v>
      </c>
      <c r="P75" s="55">
        <f t="shared" si="18"/>
        <v>0</v>
      </c>
      <c r="Q75" s="139">
        <f t="shared" si="7"/>
        <v>3.4709499999999998</v>
      </c>
      <c r="R75" s="165">
        <f t="shared" si="8"/>
        <v>0</v>
      </c>
      <c r="S75" s="165">
        <f t="shared" si="9"/>
        <v>3.4709499999999998</v>
      </c>
      <c r="T75" s="254">
        <f t="shared" si="10"/>
        <v>0</v>
      </c>
      <c r="U75" s="165">
        <f t="shared" si="19"/>
        <v>0</v>
      </c>
      <c r="V75" s="256">
        <f t="shared" si="20"/>
        <v>0</v>
      </c>
      <c r="W75" s="273">
        <f t="shared" si="11"/>
        <v>0</v>
      </c>
      <c r="X75" s="142">
        <f t="shared" si="21"/>
        <v>0</v>
      </c>
      <c r="Y75" s="36"/>
      <c r="Z75" s="36"/>
      <c r="AA75" s="4"/>
      <c r="AB75" s="4"/>
    </row>
    <row r="76" spans="1:28" ht="12.75">
      <c r="A76" s="506" t="s">
        <v>328</v>
      </c>
      <c r="B76" s="139">
        <f t="shared" si="12"/>
        <v>10.099044398334334</v>
      </c>
      <c r="C76" s="165">
        <f t="shared" si="13"/>
        <v>0</v>
      </c>
      <c r="D76" s="165">
        <f t="shared" si="23"/>
        <v>10.099044398334334</v>
      </c>
      <c r="E76" s="55">
        <f t="shared" si="22"/>
        <v>0</v>
      </c>
      <c r="F76" s="139">
        <f t="shared" si="14"/>
        <v>15.715000000000002</v>
      </c>
      <c r="G76" s="142">
        <f t="shared" si="24"/>
        <v>310.19377257441437</v>
      </c>
      <c r="H76" s="139">
        <f t="shared" si="15"/>
        <v>4.48</v>
      </c>
      <c r="I76" s="165">
        <f t="shared" si="16"/>
        <v>0</v>
      </c>
      <c r="J76" s="165">
        <f t="shared" si="17"/>
        <v>4.48</v>
      </c>
      <c r="K76" s="270">
        <f t="shared" si="26"/>
        <v>0</v>
      </c>
      <c r="L76" s="139">
        <f t="shared" si="4"/>
        <v>1.2057500000000003</v>
      </c>
      <c r="M76" s="165">
        <f t="shared" si="5"/>
        <v>0</v>
      </c>
      <c r="N76" s="165">
        <f t="shared" si="6"/>
        <v>0</v>
      </c>
      <c r="O76" s="165">
        <f t="shared" si="25"/>
        <v>1.2057500000000003</v>
      </c>
      <c r="P76" s="55">
        <f t="shared" si="18"/>
        <v>0</v>
      </c>
      <c r="Q76" s="139">
        <f t="shared" si="7"/>
        <v>1.8462500000000002</v>
      </c>
      <c r="R76" s="165">
        <f t="shared" si="8"/>
        <v>0</v>
      </c>
      <c r="S76" s="165">
        <f t="shared" si="9"/>
        <v>1.8462500000000002</v>
      </c>
      <c r="T76" s="254">
        <f t="shared" si="10"/>
        <v>0</v>
      </c>
      <c r="U76" s="165">
        <f t="shared" si="19"/>
        <v>0</v>
      </c>
      <c r="V76" s="256">
        <f t="shared" si="20"/>
        <v>0</v>
      </c>
      <c r="W76" s="273">
        <f t="shared" si="11"/>
        <v>0</v>
      </c>
      <c r="X76" s="142">
        <f t="shared" si="21"/>
        <v>0</v>
      </c>
      <c r="Y76" s="36"/>
      <c r="Z76" s="36"/>
      <c r="AA76" s="4"/>
      <c r="AB76" s="4"/>
    </row>
    <row r="77" spans="1:28" ht="12.75">
      <c r="A77" s="506" t="s">
        <v>329</v>
      </c>
      <c r="B77" s="139">
        <f t="shared" si="12"/>
        <v>14.427206283334762</v>
      </c>
      <c r="C77" s="165">
        <f t="shared" si="13"/>
        <v>2.161283423276299</v>
      </c>
      <c r="D77" s="165">
        <f t="shared" si="23"/>
        <v>16.58848970661106</v>
      </c>
      <c r="E77" s="55">
        <f t="shared" si="22"/>
        <v>0</v>
      </c>
      <c r="F77" s="139">
        <f t="shared" si="14"/>
        <v>22.450000000000003</v>
      </c>
      <c r="G77" s="142">
        <f t="shared" si="24"/>
        <v>443.13396082059194</v>
      </c>
      <c r="H77" s="139">
        <f t="shared" si="15"/>
        <v>6.4</v>
      </c>
      <c r="I77" s="165">
        <f t="shared" si="16"/>
        <v>40.053000000000004</v>
      </c>
      <c r="J77" s="165">
        <f t="shared" si="17"/>
        <v>46.453</v>
      </c>
      <c r="K77" s="270">
        <f t="shared" si="26"/>
        <v>0</v>
      </c>
      <c r="L77" s="139">
        <f t="shared" si="4"/>
        <v>1.7225000000000001</v>
      </c>
      <c r="M77" s="165">
        <f t="shared" si="5"/>
        <v>0</v>
      </c>
      <c r="N77" s="165">
        <f t="shared" si="6"/>
        <v>0</v>
      </c>
      <c r="O77" s="165">
        <f t="shared" si="25"/>
        <v>1.7225000000000001</v>
      </c>
      <c r="P77" s="55">
        <f t="shared" si="18"/>
        <v>0</v>
      </c>
      <c r="Q77" s="139">
        <f t="shared" si="7"/>
        <v>2.6375</v>
      </c>
      <c r="R77" s="165">
        <f t="shared" si="8"/>
        <v>0</v>
      </c>
      <c r="S77" s="165">
        <f t="shared" si="9"/>
        <v>2.6375</v>
      </c>
      <c r="T77" s="254">
        <f t="shared" si="10"/>
        <v>0</v>
      </c>
      <c r="U77" s="165">
        <f t="shared" si="19"/>
        <v>0</v>
      </c>
      <c r="V77" s="256">
        <f t="shared" si="20"/>
        <v>0</v>
      </c>
      <c r="W77" s="273">
        <f t="shared" si="11"/>
        <v>0</v>
      </c>
      <c r="X77" s="142">
        <f t="shared" si="21"/>
        <v>0</v>
      </c>
      <c r="Y77" s="36"/>
      <c r="Z77" s="36"/>
      <c r="AA77" s="4"/>
      <c r="AB77" s="4"/>
    </row>
    <row r="78" spans="1:28" ht="12.75">
      <c r="A78" s="506" t="s">
        <v>330</v>
      </c>
      <c r="B78" s="139">
        <f t="shared" si="12"/>
        <v>74.213549121474</v>
      </c>
      <c r="C78" s="165">
        <f t="shared" si="13"/>
        <v>0</v>
      </c>
      <c r="D78" s="165">
        <f>B78+C78</f>
        <v>74.213549121474</v>
      </c>
      <c r="E78" s="55">
        <f>D78*$E$65</f>
        <v>0</v>
      </c>
      <c r="F78" s="139">
        <f t="shared" si="14"/>
        <v>115.4828</v>
      </c>
      <c r="G78" s="142">
        <f>F78*$G$65</f>
        <v>2279.4810944611245</v>
      </c>
      <c r="H78" s="139">
        <f t="shared" si="15"/>
        <v>32.9216</v>
      </c>
      <c r="I78" s="165">
        <f t="shared" si="16"/>
        <v>0</v>
      </c>
      <c r="J78" s="165">
        <f t="shared" si="17"/>
        <v>32.9216</v>
      </c>
      <c r="K78" s="270">
        <f t="shared" si="26"/>
        <v>0</v>
      </c>
      <c r="L78" s="139">
        <f t="shared" si="4"/>
        <v>8.86054</v>
      </c>
      <c r="M78" s="165">
        <f t="shared" si="5"/>
        <v>0</v>
      </c>
      <c r="N78" s="165">
        <f t="shared" si="6"/>
        <v>0</v>
      </c>
      <c r="O78" s="165">
        <f>L78+M78+N78</f>
        <v>8.86054</v>
      </c>
      <c r="P78" s="55">
        <f t="shared" si="18"/>
        <v>0</v>
      </c>
      <c r="Q78" s="139">
        <f t="shared" si="7"/>
        <v>13.5673</v>
      </c>
      <c r="R78" s="165">
        <f t="shared" si="8"/>
        <v>0</v>
      </c>
      <c r="S78" s="165">
        <f>Q78+R78</f>
        <v>13.5673</v>
      </c>
      <c r="T78" s="254">
        <f t="shared" si="10"/>
        <v>0</v>
      </c>
      <c r="U78" s="165">
        <f t="shared" si="19"/>
        <v>0</v>
      </c>
      <c r="V78" s="256">
        <f t="shared" si="20"/>
        <v>0</v>
      </c>
      <c r="W78" s="273">
        <f t="shared" si="11"/>
        <v>0</v>
      </c>
      <c r="X78" s="142">
        <f t="shared" si="21"/>
        <v>0</v>
      </c>
      <c r="Y78" s="36"/>
      <c r="Z78" s="36"/>
      <c r="AA78" s="4"/>
      <c r="AB78" s="4"/>
    </row>
    <row r="79" spans="1:28" ht="12.75">
      <c r="A79" s="506" t="s">
        <v>131</v>
      </c>
      <c r="B79" s="139">
        <f t="shared" si="12"/>
        <v>10.791550299934402</v>
      </c>
      <c r="C79" s="165">
        <f t="shared" si="13"/>
        <v>0</v>
      </c>
      <c r="D79" s="165">
        <f t="shared" si="23"/>
        <v>10.791550299934402</v>
      </c>
      <c r="E79" s="55">
        <f t="shared" si="22"/>
        <v>0</v>
      </c>
      <c r="F79" s="139">
        <f t="shared" si="14"/>
        <v>16.7926</v>
      </c>
      <c r="G79" s="142">
        <f>F79*$G$65</f>
        <v>331.46420269380275</v>
      </c>
      <c r="H79" s="139">
        <f t="shared" si="15"/>
        <v>4.7872</v>
      </c>
      <c r="I79" s="165">
        <f t="shared" si="16"/>
        <v>0</v>
      </c>
      <c r="J79" s="165">
        <f t="shared" si="17"/>
        <v>4.7872</v>
      </c>
      <c r="K79" s="270">
        <f t="shared" si="26"/>
        <v>0</v>
      </c>
      <c r="L79" s="139">
        <f t="shared" si="4"/>
        <v>1.2884300000000002</v>
      </c>
      <c r="M79" s="165">
        <f t="shared" si="5"/>
        <v>0</v>
      </c>
      <c r="N79" s="165">
        <f t="shared" si="6"/>
        <v>0</v>
      </c>
      <c r="O79" s="165">
        <f t="shared" si="25"/>
        <v>1.2884300000000002</v>
      </c>
      <c r="P79" s="55">
        <f t="shared" si="18"/>
        <v>0</v>
      </c>
      <c r="Q79" s="139">
        <f t="shared" si="7"/>
        <v>1.9728500000000002</v>
      </c>
      <c r="R79" s="165">
        <f t="shared" si="8"/>
        <v>0</v>
      </c>
      <c r="S79" s="165">
        <f t="shared" si="9"/>
        <v>1.9728500000000002</v>
      </c>
      <c r="T79" s="254">
        <f t="shared" si="10"/>
        <v>0</v>
      </c>
      <c r="U79" s="165">
        <f t="shared" si="19"/>
        <v>0</v>
      </c>
      <c r="V79" s="256">
        <f t="shared" si="20"/>
        <v>0</v>
      </c>
      <c r="W79" s="273">
        <f t="shared" si="11"/>
        <v>0</v>
      </c>
      <c r="X79" s="142">
        <f t="shared" si="21"/>
        <v>0</v>
      </c>
      <c r="Y79" s="36"/>
      <c r="Z79" s="36"/>
      <c r="AA79" s="4"/>
      <c r="AB79" s="4"/>
    </row>
    <row r="80" spans="1:28" ht="12.75">
      <c r="A80" s="506" t="s">
        <v>331</v>
      </c>
      <c r="B80" s="139">
        <f t="shared" si="12"/>
        <v>0</v>
      </c>
      <c r="C80" s="165">
        <f t="shared" si="13"/>
        <v>0</v>
      </c>
      <c r="D80" s="165">
        <f t="shared" si="23"/>
        <v>0</v>
      </c>
      <c r="E80" s="55">
        <f t="shared" si="22"/>
        <v>0</v>
      </c>
      <c r="F80" s="139">
        <f t="shared" si="14"/>
        <v>0</v>
      </c>
      <c r="G80" s="142">
        <f t="shared" si="24"/>
        <v>0</v>
      </c>
      <c r="H80" s="139">
        <f t="shared" si="15"/>
        <v>0</v>
      </c>
      <c r="I80" s="165">
        <f t="shared" si="16"/>
        <v>0</v>
      </c>
      <c r="J80" s="165">
        <f t="shared" si="17"/>
        <v>0</v>
      </c>
      <c r="K80" s="270">
        <f t="shared" si="26"/>
        <v>0</v>
      </c>
      <c r="L80" s="139">
        <f t="shared" si="4"/>
        <v>0</v>
      </c>
      <c r="M80" s="165">
        <f t="shared" si="5"/>
        <v>0</v>
      </c>
      <c r="N80" s="165">
        <f t="shared" si="6"/>
        <v>0</v>
      </c>
      <c r="O80" s="165">
        <f t="shared" si="25"/>
        <v>0</v>
      </c>
      <c r="P80" s="55">
        <f t="shared" si="18"/>
        <v>0</v>
      </c>
      <c r="Q80" s="139">
        <f t="shared" si="7"/>
        <v>0</v>
      </c>
      <c r="R80" s="165">
        <f t="shared" si="8"/>
        <v>0</v>
      </c>
      <c r="S80" s="165">
        <f t="shared" si="9"/>
        <v>0</v>
      </c>
      <c r="T80" s="254">
        <f t="shared" si="10"/>
        <v>0</v>
      </c>
      <c r="U80" s="165">
        <f t="shared" si="19"/>
        <v>0</v>
      </c>
      <c r="V80" s="256">
        <f t="shared" si="20"/>
        <v>0</v>
      </c>
      <c r="W80" s="273">
        <f t="shared" si="11"/>
        <v>0</v>
      </c>
      <c r="X80" s="142">
        <f t="shared" si="21"/>
        <v>0</v>
      </c>
      <c r="Y80" s="36"/>
      <c r="Z80" s="36"/>
      <c r="AA80" s="4"/>
      <c r="AB80" s="4"/>
    </row>
    <row r="81" spans="1:28" ht="12.75">
      <c r="A81" s="506" t="s">
        <v>12</v>
      </c>
      <c r="B81" s="139">
        <f t="shared" si="12"/>
        <v>21.583100599868803</v>
      </c>
      <c r="C81" s="165">
        <f t="shared" si="13"/>
        <v>1.2366633552119413</v>
      </c>
      <c r="D81" s="165">
        <f t="shared" si="23"/>
        <v>22.819763955080745</v>
      </c>
      <c r="E81" s="55">
        <f t="shared" si="22"/>
        <v>0</v>
      </c>
      <c r="F81" s="139">
        <f t="shared" si="14"/>
        <v>33.5852</v>
      </c>
      <c r="G81" s="142">
        <f t="shared" si="24"/>
        <v>662.9284053876055</v>
      </c>
      <c r="H81" s="139">
        <f t="shared" si="15"/>
        <v>9.5744</v>
      </c>
      <c r="I81" s="165">
        <f t="shared" si="16"/>
        <v>22.9179</v>
      </c>
      <c r="J81" s="165">
        <f t="shared" si="17"/>
        <v>32.4923</v>
      </c>
      <c r="K81" s="270">
        <f t="shared" si="26"/>
        <v>0</v>
      </c>
      <c r="L81" s="139">
        <f t="shared" si="4"/>
        <v>2.5768600000000004</v>
      </c>
      <c r="M81" s="165">
        <f t="shared" si="5"/>
        <v>4.86486</v>
      </c>
      <c r="N81" s="165">
        <f t="shared" si="6"/>
        <v>11.76609</v>
      </c>
      <c r="O81" s="165">
        <f t="shared" si="25"/>
        <v>19.207810000000002</v>
      </c>
      <c r="P81" s="55">
        <f t="shared" si="18"/>
        <v>0</v>
      </c>
      <c r="Q81" s="139">
        <f t="shared" si="7"/>
        <v>3.9457000000000004</v>
      </c>
      <c r="R81" s="165">
        <f t="shared" si="8"/>
        <v>7.07135</v>
      </c>
      <c r="S81" s="165">
        <f t="shared" si="9"/>
        <v>11.017050000000001</v>
      </c>
      <c r="T81" s="254">
        <f t="shared" si="10"/>
        <v>0</v>
      </c>
      <c r="U81" s="165">
        <f t="shared" si="19"/>
        <v>0</v>
      </c>
      <c r="V81" s="256">
        <f t="shared" si="20"/>
        <v>0</v>
      </c>
      <c r="W81" s="273">
        <f t="shared" si="11"/>
        <v>0</v>
      </c>
      <c r="X81" s="142">
        <f t="shared" si="21"/>
        <v>0</v>
      </c>
      <c r="Y81" s="36"/>
      <c r="Z81" s="36"/>
      <c r="AA81" s="4"/>
      <c r="AB81" s="4"/>
    </row>
    <row r="82" spans="1:28" ht="12.75">
      <c r="A82" s="506" t="s">
        <v>332</v>
      </c>
      <c r="B82" s="139">
        <f t="shared" si="12"/>
        <v>10.964676775334418</v>
      </c>
      <c r="C82" s="165">
        <f t="shared" si="13"/>
        <v>0.18927215777804274</v>
      </c>
      <c r="D82" s="165">
        <f t="shared" si="23"/>
        <v>11.15394893311246</v>
      </c>
      <c r="E82" s="55">
        <f t="shared" si="22"/>
        <v>0</v>
      </c>
      <c r="F82" s="139">
        <f t="shared" si="14"/>
        <v>17.062</v>
      </c>
      <c r="G82" s="142">
        <f t="shared" si="24"/>
        <v>336.78181022364987</v>
      </c>
      <c r="H82" s="139">
        <f t="shared" si="15"/>
        <v>4.864</v>
      </c>
      <c r="I82" s="165">
        <f t="shared" si="16"/>
        <v>3.5076</v>
      </c>
      <c r="J82" s="165">
        <f t="shared" si="17"/>
        <v>8.3716</v>
      </c>
      <c r="K82" s="270">
        <f t="shared" si="26"/>
        <v>0</v>
      </c>
      <c r="L82" s="139">
        <f t="shared" si="4"/>
        <v>1.3091000000000002</v>
      </c>
      <c r="M82" s="165">
        <f t="shared" si="5"/>
        <v>0</v>
      </c>
      <c r="N82" s="165">
        <f t="shared" si="6"/>
        <v>0</v>
      </c>
      <c r="O82" s="165">
        <f t="shared" si="25"/>
        <v>1.3091000000000002</v>
      </c>
      <c r="P82" s="55">
        <f t="shared" si="18"/>
        <v>0</v>
      </c>
      <c r="Q82" s="139">
        <f t="shared" si="7"/>
        <v>2.0045</v>
      </c>
      <c r="R82" s="165">
        <f t="shared" si="8"/>
        <v>0</v>
      </c>
      <c r="S82" s="165">
        <f t="shared" si="9"/>
        <v>2.0045</v>
      </c>
      <c r="T82" s="254">
        <f t="shared" si="10"/>
        <v>0</v>
      </c>
      <c r="U82" s="165">
        <f t="shared" si="19"/>
        <v>0</v>
      </c>
      <c r="V82" s="256">
        <f t="shared" si="20"/>
        <v>0</v>
      </c>
      <c r="W82" s="273">
        <f t="shared" si="11"/>
        <v>0</v>
      </c>
      <c r="X82" s="142">
        <f t="shared" si="21"/>
        <v>0</v>
      </c>
      <c r="Y82" s="36"/>
      <c r="Z82" s="36"/>
      <c r="AA82" s="4"/>
      <c r="AB82" s="4"/>
    </row>
    <row r="83" spans="1:28" ht="12.75">
      <c r="A83" s="506" t="s">
        <v>119</v>
      </c>
      <c r="B83" s="139">
        <f t="shared" si="12"/>
        <v>2.539188305866918</v>
      </c>
      <c r="C83" s="165">
        <f t="shared" si="13"/>
        <v>0.12149226343860851</v>
      </c>
      <c r="D83" s="165">
        <f t="shared" si="23"/>
        <v>2.6606805693055264</v>
      </c>
      <c r="E83" s="55">
        <f t="shared" si="22"/>
        <v>0</v>
      </c>
      <c r="F83" s="139">
        <f t="shared" si="14"/>
        <v>3.9512</v>
      </c>
      <c r="G83" s="142">
        <f t="shared" si="24"/>
        <v>77.99157710442418</v>
      </c>
      <c r="H83" s="139">
        <f t="shared" si="15"/>
        <v>1.1264</v>
      </c>
      <c r="I83" s="165">
        <f t="shared" si="16"/>
        <v>2.2515</v>
      </c>
      <c r="J83" s="165">
        <f t="shared" si="17"/>
        <v>3.3779000000000003</v>
      </c>
      <c r="K83" s="270">
        <f t="shared" si="26"/>
        <v>0</v>
      </c>
      <c r="L83" s="139">
        <f t="shared" si="4"/>
        <v>0.30316000000000004</v>
      </c>
      <c r="M83" s="165">
        <f t="shared" si="5"/>
        <v>0.30618</v>
      </c>
      <c r="N83" s="165">
        <f t="shared" si="6"/>
        <v>1.0836</v>
      </c>
      <c r="O83" s="165">
        <f t="shared" si="25"/>
        <v>1.69294</v>
      </c>
      <c r="P83" s="55">
        <f t="shared" si="18"/>
        <v>0</v>
      </c>
      <c r="Q83" s="139">
        <f t="shared" si="7"/>
        <v>0.4642</v>
      </c>
      <c r="R83" s="165">
        <f t="shared" si="8"/>
        <v>0.44505</v>
      </c>
      <c r="S83" s="165">
        <f t="shared" si="9"/>
        <v>0.90925</v>
      </c>
      <c r="T83" s="254">
        <f t="shared" si="10"/>
        <v>0</v>
      </c>
      <c r="U83" s="165">
        <f t="shared" si="19"/>
        <v>0</v>
      </c>
      <c r="V83" s="256">
        <f t="shared" si="20"/>
        <v>0</v>
      </c>
      <c r="W83" s="273">
        <f t="shared" si="11"/>
        <v>0</v>
      </c>
      <c r="X83" s="142">
        <f t="shared" si="21"/>
        <v>0</v>
      </c>
      <c r="Y83" s="36"/>
      <c r="Z83" s="36"/>
      <c r="AA83" s="4"/>
      <c r="AB83" s="4"/>
    </row>
    <row r="84" spans="1:28" ht="12.75">
      <c r="A84" s="506" t="s">
        <v>9</v>
      </c>
      <c r="B84" s="139">
        <f t="shared" si="12"/>
        <v>30.81651262120305</v>
      </c>
      <c r="C84" s="165">
        <f t="shared" si="13"/>
        <v>3.9491379947202434</v>
      </c>
      <c r="D84" s="165">
        <f t="shared" si="23"/>
        <v>34.76565061592329</v>
      </c>
      <c r="E84" s="55">
        <f t="shared" si="22"/>
        <v>0</v>
      </c>
      <c r="F84" s="139">
        <f t="shared" si="14"/>
        <v>47.9532</v>
      </c>
      <c r="G84" s="142">
        <f t="shared" si="24"/>
        <v>946.5341403127843</v>
      </c>
      <c r="H84" s="139">
        <f t="shared" si="15"/>
        <v>13.6704</v>
      </c>
      <c r="I84" s="165">
        <f t="shared" si="16"/>
        <v>73.18560000000001</v>
      </c>
      <c r="J84" s="165">
        <f t="shared" si="17"/>
        <v>86.85600000000001</v>
      </c>
      <c r="K84" s="270">
        <f t="shared" si="26"/>
        <v>0</v>
      </c>
      <c r="L84" s="139">
        <f t="shared" si="4"/>
        <v>3.6792600000000006</v>
      </c>
      <c r="M84" s="165">
        <f t="shared" si="5"/>
        <v>0</v>
      </c>
      <c r="N84" s="165">
        <f t="shared" si="6"/>
        <v>46.89279</v>
      </c>
      <c r="O84" s="165">
        <f t="shared" si="25"/>
        <v>50.57205</v>
      </c>
      <c r="P84" s="55">
        <f t="shared" si="18"/>
        <v>0</v>
      </c>
      <c r="Q84" s="139">
        <f t="shared" si="7"/>
        <v>5.6337</v>
      </c>
      <c r="R84" s="165">
        <f t="shared" si="8"/>
        <v>0</v>
      </c>
      <c r="S84" s="165">
        <f t="shared" si="9"/>
        <v>5.6337</v>
      </c>
      <c r="T84" s="254">
        <f t="shared" si="10"/>
        <v>0</v>
      </c>
      <c r="U84" s="165">
        <f t="shared" si="19"/>
        <v>0</v>
      </c>
      <c r="V84" s="256">
        <f t="shared" si="20"/>
        <v>0</v>
      </c>
      <c r="W84" s="273">
        <f t="shared" si="11"/>
        <v>0</v>
      </c>
      <c r="X84" s="142">
        <f t="shared" si="21"/>
        <v>0</v>
      </c>
      <c r="Y84" s="36"/>
      <c r="Z84" s="36"/>
      <c r="AA84" s="4"/>
      <c r="AB84" s="4"/>
    </row>
    <row r="85" spans="1:28" ht="12.75">
      <c r="A85" s="506" t="s">
        <v>333</v>
      </c>
      <c r="B85" s="139">
        <f t="shared" si="12"/>
        <v>10.906967950201079</v>
      </c>
      <c r="C85" s="165">
        <f t="shared" si="13"/>
        <v>0</v>
      </c>
      <c r="D85" s="165">
        <f t="shared" si="23"/>
        <v>10.906967950201079</v>
      </c>
      <c r="E85" s="55">
        <f t="shared" si="22"/>
        <v>0</v>
      </c>
      <c r="F85" s="139">
        <f t="shared" si="14"/>
        <v>16.9722</v>
      </c>
      <c r="G85" s="142">
        <f t="shared" si="24"/>
        <v>335.0092743803675</v>
      </c>
      <c r="H85" s="139">
        <f t="shared" si="15"/>
        <v>4.8384</v>
      </c>
      <c r="I85" s="165">
        <f t="shared" si="16"/>
        <v>0</v>
      </c>
      <c r="J85" s="165">
        <f t="shared" si="17"/>
        <v>4.8384</v>
      </c>
      <c r="K85" s="270">
        <f t="shared" si="26"/>
        <v>0</v>
      </c>
      <c r="L85" s="139">
        <f t="shared" si="4"/>
        <v>1.30221</v>
      </c>
      <c r="M85" s="165">
        <f t="shared" si="5"/>
        <v>12.34926</v>
      </c>
      <c r="N85" s="165">
        <f t="shared" si="6"/>
        <v>0</v>
      </c>
      <c r="O85" s="165">
        <f t="shared" si="25"/>
        <v>13.65147</v>
      </c>
      <c r="P85" s="55">
        <f t="shared" si="18"/>
        <v>0</v>
      </c>
      <c r="Q85" s="139">
        <f t="shared" si="7"/>
        <v>1.9939500000000001</v>
      </c>
      <c r="R85" s="165">
        <f t="shared" si="8"/>
        <v>17.95035</v>
      </c>
      <c r="S85" s="165">
        <f t="shared" si="9"/>
        <v>19.944300000000002</v>
      </c>
      <c r="T85" s="254">
        <f t="shared" si="10"/>
        <v>0</v>
      </c>
      <c r="U85" s="165">
        <f t="shared" si="19"/>
        <v>0</v>
      </c>
      <c r="V85" s="256">
        <f t="shared" si="20"/>
        <v>0</v>
      </c>
      <c r="W85" s="273">
        <f t="shared" si="11"/>
        <v>0</v>
      </c>
      <c r="X85" s="142">
        <f t="shared" si="21"/>
        <v>0</v>
      </c>
      <c r="Y85" s="36"/>
      <c r="Z85" s="36"/>
      <c r="AA85" s="4"/>
      <c r="AB85" s="4"/>
    </row>
    <row r="86" spans="1:28" ht="12.75">
      <c r="A86" s="506" t="s">
        <v>15</v>
      </c>
      <c r="B86" s="139">
        <f t="shared" si="12"/>
        <v>23.025821228202275</v>
      </c>
      <c r="C86" s="165">
        <f t="shared" si="13"/>
        <v>0</v>
      </c>
      <c r="D86" s="165">
        <f t="shared" si="23"/>
        <v>23.025821228202275</v>
      </c>
      <c r="E86" s="55">
        <f t="shared" si="22"/>
        <v>0</v>
      </c>
      <c r="F86" s="139">
        <f t="shared" si="14"/>
        <v>35.8302</v>
      </c>
      <c r="G86" s="142">
        <f t="shared" si="24"/>
        <v>707.2418014696647</v>
      </c>
      <c r="H86" s="139">
        <f t="shared" si="15"/>
        <v>10.2144</v>
      </c>
      <c r="I86" s="165">
        <f t="shared" si="16"/>
        <v>0</v>
      </c>
      <c r="J86" s="165">
        <f t="shared" si="17"/>
        <v>10.2144</v>
      </c>
      <c r="K86" s="270">
        <f>J86*$K$65</f>
        <v>0</v>
      </c>
      <c r="L86" s="139">
        <f t="shared" si="4"/>
        <v>2.74911</v>
      </c>
      <c r="M86" s="165">
        <f t="shared" si="5"/>
        <v>4.320539999999999</v>
      </c>
      <c r="N86" s="165">
        <f t="shared" si="6"/>
        <v>0.52374</v>
      </c>
      <c r="O86" s="165">
        <f>L86+M86+N86</f>
        <v>7.593389999999999</v>
      </c>
      <c r="P86" s="55">
        <f t="shared" si="18"/>
        <v>0</v>
      </c>
      <c r="Q86" s="139">
        <f t="shared" si="7"/>
        <v>4.2094499999999995</v>
      </c>
      <c r="R86" s="165">
        <f t="shared" si="8"/>
        <v>6.28015</v>
      </c>
      <c r="S86" s="165">
        <f t="shared" si="9"/>
        <v>10.4896</v>
      </c>
      <c r="T86" s="254">
        <f t="shared" si="10"/>
        <v>0</v>
      </c>
      <c r="U86" s="165">
        <f t="shared" si="19"/>
        <v>0</v>
      </c>
      <c r="V86" s="256">
        <f t="shared" si="20"/>
        <v>0</v>
      </c>
      <c r="W86" s="273">
        <f t="shared" si="11"/>
        <v>0</v>
      </c>
      <c r="X86" s="142">
        <f t="shared" si="21"/>
        <v>0</v>
      </c>
      <c r="Y86" s="36"/>
      <c r="Z86" s="36"/>
      <c r="AA86" s="4"/>
      <c r="AB86" s="4"/>
    </row>
    <row r="87" spans="1:28" ht="12.75">
      <c r="A87" s="506" t="s">
        <v>334</v>
      </c>
      <c r="B87" s="139">
        <f t="shared" si="12"/>
        <v>27.931071364536095</v>
      </c>
      <c r="C87" s="165">
        <f t="shared" si="13"/>
        <v>2.105013322315259</v>
      </c>
      <c r="D87" s="165">
        <f>B87+C87</f>
        <v>30.036084686851353</v>
      </c>
      <c r="E87" s="55">
        <f>D87*$E$65</f>
        <v>0</v>
      </c>
      <c r="F87" s="139">
        <f t="shared" si="14"/>
        <v>43.4632</v>
      </c>
      <c r="G87" s="142">
        <f>F87*$G$65</f>
        <v>857.907348148666</v>
      </c>
      <c r="H87" s="139">
        <f t="shared" si="15"/>
        <v>12.3904</v>
      </c>
      <c r="I87" s="165">
        <f t="shared" si="16"/>
        <v>39.0102</v>
      </c>
      <c r="J87" s="165">
        <f t="shared" si="17"/>
        <v>51.4006</v>
      </c>
      <c r="K87" s="270">
        <f>J87*$K$65</f>
        <v>0</v>
      </c>
      <c r="L87" s="139">
        <f t="shared" si="4"/>
        <v>3.33476</v>
      </c>
      <c r="M87" s="165">
        <f t="shared" si="5"/>
        <v>0</v>
      </c>
      <c r="N87" s="165">
        <f t="shared" si="6"/>
        <v>0</v>
      </c>
      <c r="O87" s="165">
        <f>L87+M87+N87</f>
        <v>3.33476</v>
      </c>
      <c r="P87" s="55">
        <f t="shared" si="18"/>
        <v>0</v>
      </c>
      <c r="Q87" s="139">
        <f t="shared" si="7"/>
        <v>5.106199999999999</v>
      </c>
      <c r="R87" s="165">
        <f t="shared" si="8"/>
        <v>0</v>
      </c>
      <c r="S87" s="165">
        <f>Q87+R87</f>
        <v>5.106199999999999</v>
      </c>
      <c r="T87" s="254">
        <f t="shared" si="10"/>
        <v>0</v>
      </c>
      <c r="U87" s="165">
        <f t="shared" si="19"/>
        <v>0</v>
      </c>
      <c r="V87" s="256">
        <f t="shared" si="20"/>
        <v>0</v>
      </c>
      <c r="W87" s="273">
        <f t="shared" si="11"/>
        <v>0</v>
      </c>
      <c r="X87" s="142">
        <f t="shared" si="21"/>
        <v>0</v>
      </c>
      <c r="Y87" s="36"/>
      <c r="Z87" s="36"/>
      <c r="AA87" s="4"/>
      <c r="AB87" s="4"/>
    </row>
    <row r="88" spans="1:28" ht="12.75">
      <c r="A88" s="506" t="s">
        <v>335</v>
      </c>
      <c r="B88" s="139">
        <f t="shared" si="12"/>
        <v>36.12572453347024</v>
      </c>
      <c r="C88" s="165">
        <f t="shared" si="13"/>
        <v>1.8044798285460697</v>
      </c>
      <c r="D88" s="165">
        <f t="shared" si="23"/>
        <v>37.93020436201631</v>
      </c>
      <c r="E88" s="55">
        <f t="shared" si="22"/>
        <v>0</v>
      </c>
      <c r="F88" s="139">
        <f t="shared" si="14"/>
        <v>56.214800000000004</v>
      </c>
      <c r="G88" s="142">
        <f t="shared" si="24"/>
        <v>1109.6074378947621</v>
      </c>
      <c r="H88" s="139">
        <f t="shared" si="15"/>
        <v>16.0256</v>
      </c>
      <c r="I88" s="165">
        <f t="shared" si="16"/>
        <v>33.4407</v>
      </c>
      <c r="J88" s="165">
        <f t="shared" si="17"/>
        <v>49.466300000000004</v>
      </c>
      <c r="K88" s="270">
        <f>J88*$K$65</f>
        <v>0</v>
      </c>
      <c r="L88" s="139">
        <f t="shared" si="4"/>
        <v>4.313140000000001</v>
      </c>
      <c r="M88" s="165">
        <f t="shared" si="5"/>
        <v>291.65346</v>
      </c>
      <c r="N88" s="165">
        <f t="shared" si="6"/>
        <v>28.88697</v>
      </c>
      <c r="O88" s="165">
        <f>L88+M88+N88</f>
        <v>324.85357</v>
      </c>
      <c r="P88" s="55">
        <f t="shared" si="18"/>
        <v>0</v>
      </c>
      <c r="Q88" s="139">
        <f t="shared" si="7"/>
        <v>6.6043</v>
      </c>
      <c r="R88" s="165">
        <f t="shared" si="8"/>
        <v>423.93485</v>
      </c>
      <c r="S88" s="165">
        <f t="shared" si="9"/>
        <v>430.53915</v>
      </c>
      <c r="T88" s="254">
        <f t="shared" si="10"/>
        <v>0</v>
      </c>
      <c r="U88" s="165">
        <f t="shared" si="19"/>
        <v>0</v>
      </c>
      <c r="V88" s="256">
        <f t="shared" si="20"/>
        <v>0</v>
      </c>
      <c r="W88" s="273">
        <f t="shared" si="11"/>
        <v>0</v>
      </c>
      <c r="X88" s="142">
        <f t="shared" si="21"/>
        <v>0</v>
      </c>
      <c r="Y88" s="36"/>
      <c r="Z88" s="36"/>
      <c r="AA88" s="4"/>
      <c r="AB88" s="4"/>
    </row>
    <row r="89" spans="1:28" ht="12.75">
      <c r="A89" s="506" t="s">
        <v>336</v>
      </c>
      <c r="B89" s="139">
        <f t="shared" si="12"/>
        <v>1.500429453466815</v>
      </c>
      <c r="C89" s="165">
        <f t="shared" si="13"/>
        <v>0.0665010284085015</v>
      </c>
      <c r="D89" s="165">
        <f t="shared" si="23"/>
        <v>1.5669304818753165</v>
      </c>
      <c r="E89" s="55">
        <f t="shared" si="22"/>
        <v>0</v>
      </c>
      <c r="F89" s="139">
        <f t="shared" si="14"/>
        <v>2.3348</v>
      </c>
      <c r="G89" s="142">
        <f t="shared" si="24"/>
        <v>46.085931925341555</v>
      </c>
      <c r="H89" s="139">
        <f t="shared" si="15"/>
        <v>0.6656</v>
      </c>
      <c r="I89" s="165">
        <f t="shared" si="16"/>
        <v>1.2324</v>
      </c>
      <c r="J89" s="165">
        <f t="shared" si="17"/>
        <v>1.898</v>
      </c>
      <c r="K89" s="270">
        <f>J89*$K$65</f>
        <v>0</v>
      </c>
      <c r="L89" s="139">
        <f t="shared" si="4"/>
        <v>0.17914</v>
      </c>
      <c r="M89" s="165">
        <f t="shared" si="5"/>
        <v>11.5668</v>
      </c>
      <c r="N89" s="165">
        <f t="shared" si="6"/>
        <v>1.1468099999999999</v>
      </c>
      <c r="O89" s="165">
        <f>L89+M89+N89</f>
        <v>12.892750000000001</v>
      </c>
      <c r="P89" s="55">
        <f t="shared" si="18"/>
        <v>0</v>
      </c>
      <c r="Q89" s="139">
        <f t="shared" si="7"/>
        <v>0.2743</v>
      </c>
      <c r="R89" s="165">
        <f t="shared" si="8"/>
        <v>16.813000000000002</v>
      </c>
      <c r="S89" s="165">
        <f t="shared" si="9"/>
        <v>17.087300000000003</v>
      </c>
      <c r="T89" s="254">
        <f t="shared" si="10"/>
        <v>0</v>
      </c>
      <c r="U89" s="165">
        <f t="shared" si="19"/>
        <v>0</v>
      </c>
      <c r="V89" s="256">
        <f t="shared" si="20"/>
        <v>0</v>
      </c>
      <c r="W89" s="273">
        <f t="shared" si="11"/>
        <v>0</v>
      </c>
      <c r="X89" s="142">
        <f t="shared" si="21"/>
        <v>0</v>
      </c>
      <c r="Y89" s="36"/>
      <c r="Z89" s="36"/>
      <c r="AA89" s="4"/>
      <c r="AB89" s="4"/>
    </row>
    <row r="90" spans="1:28" ht="13.5" thickBot="1">
      <c r="A90" s="507" t="s">
        <v>337</v>
      </c>
      <c r="B90" s="145">
        <f t="shared" si="12"/>
        <v>0</v>
      </c>
      <c r="C90" s="519">
        <f t="shared" si="13"/>
        <v>0</v>
      </c>
      <c r="D90" s="519">
        <f>B90+C90</f>
        <v>0</v>
      </c>
      <c r="E90" s="173">
        <f>D90*$E$65</f>
        <v>0</v>
      </c>
      <c r="F90" s="145">
        <f t="shared" si="14"/>
        <v>0</v>
      </c>
      <c r="G90" s="520">
        <f t="shared" si="24"/>
        <v>0</v>
      </c>
      <c r="H90" s="145">
        <f t="shared" si="15"/>
        <v>0</v>
      </c>
      <c r="I90" s="519">
        <f t="shared" si="16"/>
        <v>0</v>
      </c>
      <c r="J90" s="165">
        <f t="shared" si="17"/>
        <v>0</v>
      </c>
      <c r="K90" s="522">
        <f>J90*$K$65</f>
        <v>0</v>
      </c>
      <c r="L90" s="145">
        <f t="shared" si="4"/>
        <v>0</v>
      </c>
      <c r="M90" s="519">
        <f t="shared" si="5"/>
        <v>0</v>
      </c>
      <c r="N90" s="519">
        <f t="shared" si="6"/>
        <v>0</v>
      </c>
      <c r="O90" s="519">
        <f>L90+M90+N90</f>
        <v>0</v>
      </c>
      <c r="P90" s="173">
        <f t="shared" si="18"/>
        <v>0</v>
      </c>
      <c r="Q90" s="145">
        <f t="shared" si="7"/>
        <v>0</v>
      </c>
      <c r="R90" s="519">
        <f t="shared" si="8"/>
        <v>0</v>
      </c>
      <c r="S90" s="519">
        <f>Q90+R90</f>
        <v>0</v>
      </c>
      <c r="T90" s="523">
        <f t="shared" si="10"/>
        <v>0</v>
      </c>
      <c r="U90" s="519">
        <f>C58*$L$15</f>
        <v>0</v>
      </c>
      <c r="V90" s="524">
        <f>F58*$L$18</f>
        <v>0</v>
      </c>
      <c r="W90" s="525">
        <f t="shared" si="11"/>
        <v>0</v>
      </c>
      <c r="X90" s="520">
        <f t="shared" si="21"/>
        <v>0</v>
      </c>
      <c r="Y90" s="36"/>
      <c r="Z90" s="36"/>
      <c r="AA90" s="4"/>
      <c r="AB90" s="4"/>
    </row>
    <row r="91" spans="1:28" ht="13.5" thickBot="1">
      <c r="A91" s="155" t="s">
        <v>50</v>
      </c>
      <c r="B91" s="147">
        <f>SUM(B67:B90)</f>
        <v>577.0882513333905</v>
      </c>
      <c r="C91" s="526">
        <f aca="true" t="shared" si="27" ref="C91:U91">SUM(C67:C90)</f>
        <v>12.788659309327212</v>
      </c>
      <c r="D91" s="526">
        <f>SUM(D67:D90)</f>
        <v>589.8769106427176</v>
      </c>
      <c r="E91" s="527">
        <f t="shared" si="27"/>
        <v>0</v>
      </c>
      <c r="F91" s="147">
        <f t="shared" si="27"/>
        <v>898</v>
      </c>
      <c r="G91" s="527">
        <f t="shared" si="27"/>
        <v>17725.35843282368</v>
      </c>
      <c r="H91" s="147">
        <f>SUM(H67:H90)</f>
        <v>256.00000000000006</v>
      </c>
      <c r="I91" s="526">
        <f t="shared" si="27"/>
        <v>237.00000000000003</v>
      </c>
      <c r="J91" s="526">
        <f>SUM(J67:J90)</f>
        <v>493.00000000000006</v>
      </c>
      <c r="K91" s="529">
        <f>SUM(K67:K90)</f>
        <v>0</v>
      </c>
      <c r="L91" s="147">
        <f t="shared" si="27"/>
        <v>68.9</v>
      </c>
      <c r="M91" s="526">
        <f t="shared" si="27"/>
        <v>340.2</v>
      </c>
      <c r="N91" s="526">
        <f t="shared" si="27"/>
        <v>90.3</v>
      </c>
      <c r="O91" s="526">
        <f>SUM(O67:O90)</f>
        <v>499.3999999999999</v>
      </c>
      <c r="P91" s="527">
        <f t="shared" si="27"/>
        <v>0</v>
      </c>
      <c r="Q91" s="147">
        <f t="shared" si="27"/>
        <v>105.5</v>
      </c>
      <c r="R91" s="526">
        <f t="shared" si="27"/>
        <v>494.49999999999994</v>
      </c>
      <c r="S91" s="526">
        <f t="shared" si="27"/>
        <v>600.0000000000001</v>
      </c>
      <c r="T91" s="530">
        <f t="shared" si="27"/>
        <v>0</v>
      </c>
      <c r="U91" s="147">
        <f t="shared" si="27"/>
        <v>0</v>
      </c>
      <c r="V91" s="531">
        <f>SUM(V67:V90)</f>
        <v>0</v>
      </c>
      <c r="W91" s="526">
        <f>SUM(W67:W90)</f>
        <v>0</v>
      </c>
      <c r="X91" s="527">
        <f>SUM(X67:X90)</f>
        <v>0</v>
      </c>
      <c r="Y91" s="42"/>
      <c r="Z91" s="42"/>
      <c r="AA91" s="4"/>
      <c r="AB91" s="4"/>
    </row>
    <row r="92" spans="1:23" ht="12.75">
      <c r="A92" s="169" t="s">
        <v>73</v>
      </c>
      <c r="B92" s="41"/>
      <c r="C92" s="41"/>
      <c r="D92" s="41"/>
      <c r="E92" s="38"/>
      <c r="F92" s="41"/>
      <c r="G92" s="38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4"/>
      <c r="W92" s="4"/>
    </row>
    <row r="93" spans="1:23" ht="12.75">
      <c r="A93" s="137" t="s">
        <v>78</v>
      </c>
      <c r="B93" s="179"/>
      <c r="C93" s="179"/>
      <c r="D93" s="42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4"/>
      <c r="W93" s="4"/>
    </row>
    <row r="94" spans="1:23" ht="12.75">
      <c r="A94" s="137" t="s">
        <v>81</v>
      </c>
      <c r="B94" s="179"/>
      <c r="C94" s="179"/>
      <c r="D94" s="4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4"/>
      <c r="W94" s="4"/>
    </row>
    <row r="95" spans="1:21" ht="13.5" thickBo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</row>
    <row r="96" spans="1:21" ht="16.5" thickBot="1">
      <c r="A96" s="198" t="s">
        <v>65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</row>
    <row r="97" spans="1:21" ht="76.5">
      <c r="A97" s="170" t="s">
        <v>3</v>
      </c>
      <c r="B97" s="122" t="s">
        <v>82</v>
      </c>
      <c r="C97" s="124" t="s">
        <v>113</v>
      </c>
      <c r="D97" s="31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</row>
    <row r="98" spans="1:21" ht="12.75">
      <c r="A98" s="51" t="s">
        <v>29</v>
      </c>
      <c r="B98" s="54">
        <f>C27*E65</f>
        <v>0</v>
      </c>
      <c r="C98" s="55">
        <f>(C13+C20)*E65</f>
        <v>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</row>
    <row r="99" spans="1:21" ht="12.75">
      <c r="A99" s="51" t="s">
        <v>35</v>
      </c>
      <c r="B99" s="54">
        <f>D27*G65</f>
        <v>0</v>
      </c>
      <c r="C99" s="55">
        <f>(D13+D20)*G65</f>
        <v>17725.358432823676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</row>
    <row r="100" spans="1:21" ht="12.75">
      <c r="A100" s="51" t="s">
        <v>5</v>
      </c>
      <c r="B100" s="54">
        <f>E27*K65</f>
        <v>0</v>
      </c>
      <c r="C100" s="55">
        <f>(E13+E20)*K65</f>
        <v>0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</row>
    <row r="101" spans="1:21" ht="12.75">
      <c r="A101" s="171" t="s">
        <v>8</v>
      </c>
      <c r="B101" s="54">
        <f>F27*P65</f>
        <v>0</v>
      </c>
      <c r="C101" s="55">
        <f>(F13+F20)*P65</f>
        <v>0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</row>
    <row r="102" spans="1:21" ht="12.75">
      <c r="A102" s="171" t="s">
        <v>36</v>
      </c>
      <c r="B102" s="54">
        <f>G27*T65</f>
        <v>0</v>
      </c>
      <c r="C102" s="55">
        <f>(G13+G20)*T65</f>
        <v>0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</row>
    <row r="103" spans="1:21" ht="12.75">
      <c r="A103" s="171" t="s">
        <v>37</v>
      </c>
      <c r="B103" s="172">
        <f>I27*AB65</f>
        <v>0</v>
      </c>
      <c r="C103" s="55">
        <f>(I13+I20)*AB65</f>
        <v>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</row>
    <row r="104" spans="1:21" ht="12.75">
      <c r="A104" s="171" t="s">
        <v>15</v>
      </c>
      <c r="B104" s="172">
        <f>J27*Z65</f>
        <v>0</v>
      </c>
      <c r="C104" s="55">
        <f>(J13+J20)*Z65</f>
        <v>0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</row>
    <row r="105" spans="1:21" ht="13.5" thickBot="1">
      <c r="A105" s="171" t="s">
        <v>11</v>
      </c>
      <c r="B105" s="172">
        <f>L27*X65</f>
        <v>0</v>
      </c>
      <c r="C105" s="173">
        <f>(L13+L20)*X65</f>
        <v>0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</row>
    <row r="106" spans="1:21" ht="13.5" thickBot="1">
      <c r="A106" s="532" t="s">
        <v>50</v>
      </c>
      <c r="B106" s="533">
        <f>SUM(B98:B105)</f>
        <v>0</v>
      </c>
      <c r="C106" s="534">
        <f>SUM(C98:C105)</f>
        <v>17725.358432823676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</row>
  </sheetData>
  <sheetProtection/>
  <mergeCells count="21">
    <mergeCell ref="F64:G64"/>
    <mergeCell ref="L64:P64"/>
    <mergeCell ref="B65:D65"/>
    <mergeCell ref="U64:X64"/>
    <mergeCell ref="U65:W65"/>
    <mergeCell ref="A3:A4"/>
    <mergeCell ref="A30:K30"/>
    <mergeCell ref="A60:G60"/>
    <mergeCell ref="I60:L60"/>
    <mergeCell ref="A63:A65"/>
    <mergeCell ref="B64:E64"/>
    <mergeCell ref="Q64:T64"/>
    <mergeCell ref="A31:K31"/>
    <mergeCell ref="Q65:S65"/>
    <mergeCell ref="L65:O65"/>
    <mergeCell ref="AA66:AB66"/>
    <mergeCell ref="H64:K64"/>
    <mergeCell ref="H65:J65"/>
    <mergeCell ref="Y64:Z64"/>
    <mergeCell ref="AA64:AB64"/>
    <mergeCell ref="Y66:Z66"/>
  </mergeCells>
  <printOptions/>
  <pageMargins left="0.7" right="0.7" top="0.75" bottom="0.75" header="0.3" footer="0.3"/>
  <pageSetup fitToHeight="1" fitToWidth="1" horizontalDpi="600" verticalDpi="600" orientation="landscape" paperSize="17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9" width="15.7109375" style="0" customWidth="1"/>
  </cols>
  <sheetData>
    <row r="1" spans="1:10" ht="18.75">
      <c r="A1" s="328" t="s">
        <v>341</v>
      </c>
      <c r="B1" s="328"/>
      <c r="C1" s="328"/>
      <c r="D1" s="328"/>
      <c r="E1" s="328"/>
      <c r="F1" s="328"/>
      <c r="G1" s="328"/>
      <c r="H1" s="202"/>
      <c r="I1" s="202"/>
      <c r="J1" s="202"/>
    </row>
    <row r="2" s="23" customFormat="1" ht="12.75"/>
    <row r="3" spans="1:10" ht="15.75">
      <c r="A3" s="329" t="s">
        <v>58</v>
      </c>
      <c r="B3" s="317"/>
      <c r="C3" s="317"/>
      <c r="D3" s="317"/>
      <c r="E3" s="317"/>
      <c r="F3" s="180"/>
      <c r="G3" s="180"/>
      <c r="H3" s="180"/>
      <c r="I3" s="180"/>
      <c r="J3" s="180"/>
    </row>
    <row r="4" spans="1:11" ht="12.75">
      <c r="A4" s="615" t="s">
        <v>3</v>
      </c>
      <c r="B4" s="618" t="s">
        <v>121</v>
      </c>
      <c r="C4" s="618"/>
      <c r="D4" s="618"/>
      <c r="E4" s="612" t="s">
        <v>236</v>
      </c>
      <c r="F4" s="612"/>
      <c r="G4" s="612"/>
      <c r="H4" s="609" t="s">
        <v>340</v>
      </c>
      <c r="I4" s="609"/>
      <c r="J4" s="609"/>
      <c r="K4" s="606" t="s">
        <v>3</v>
      </c>
    </row>
    <row r="5" spans="1:11" ht="12.75">
      <c r="A5" s="616"/>
      <c r="B5" s="618" t="s">
        <v>243</v>
      </c>
      <c r="C5" s="618"/>
      <c r="D5" s="618"/>
      <c r="E5" s="612" t="s">
        <v>243</v>
      </c>
      <c r="F5" s="612"/>
      <c r="G5" s="612"/>
      <c r="H5" s="609" t="s">
        <v>243</v>
      </c>
      <c r="I5" s="609"/>
      <c r="J5" s="609"/>
      <c r="K5" s="606"/>
    </row>
    <row r="6" spans="1:11" ht="51">
      <c r="A6" s="617"/>
      <c r="B6" s="318" t="s">
        <v>171</v>
      </c>
      <c r="C6" s="318" t="s">
        <v>176</v>
      </c>
      <c r="D6" s="318" t="s">
        <v>211</v>
      </c>
      <c r="E6" s="319" t="s">
        <v>171</v>
      </c>
      <c r="F6" s="319" t="s">
        <v>176</v>
      </c>
      <c r="G6" s="319" t="s">
        <v>211</v>
      </c>
      <c r="H6" s="562" t="s">
        <v>171</v>
      </c>
      <c r="I6" s="562" t="s">
        <v>176</v>
      </c>
      <c r="J6" s="562" t="s">
        <v>211</v>
      </c>
      <c r="K6" s="606"/>
    </row>
    <row r="7" spans="1:11" ht="12.75">
      <c r="A7" s="331" t="s">
        <v>6</v>
      </c>
      <c r="B7" s="332">
        <f>'BRA Resource Clearing Results'!D5</f>
        <v>100</v>
      </c>
      <c r="C7" s="332">
        <f>'BRA Resource Clearing Results'!F5</f>
        <v>80</v>
      </c>
      <c r="D7" s="332">
        <f>'BRA Resource Clearing Results'!H5</f>
        <v>80</v>
      </c>
      <c r="E7" s="333">
        <f>'1stIA Resource Clearing Results'!D5</f>
        <v>51.33</v>
      </c>
      <c r="F7" s="333">
        <f>'1stIA Resource Clearing Results'!F5</f>
        <v>15</v>
      </c>
      <c r="G7" s="333">
        <f>'1stIA Resource Clearing Results'!H5</f>
        <v>15</v>
      </c>
      <c r="H7" s="566">
        <f>'2ndIA Resource Clearing Results'!D5</f>
        <v>32.87</v>
      </c>
      <c r="I7" s="566">
        <f>'2ndIA Resource Clearing Results'!F5</f>
        <v>10.009999999999998</v>
      </c>
      <c r="J7" s="566">
        <f>'2ndIA Resource Clearing Results'!H5</f>
        <v>10.009999999999998</v>
      </c>
      <c r="K7" s="331" t="s">
        <v>6</v>
      </c>
    </row>
    <row r="8" spans="1:11" ht="12.75">
      <c r="A8" s="331" t="s">
        <v>29</v>
      </c>
      <c r="B8" s="332">
        <f>'BRA Resource Clearing Results'!D6</f>
        <v>100</v>
      </c>
      <c r="C8" s="332">
        <f>'BRA Resource Clearing Results'!F6</f>
        <v>80</v>
      </c>
      <c r="D8" s="332">
        <f>'BRA Resource Clearing Results'!H6</f>
        <v>80</v>
      </c>
      <c r="E8" s="333">
        <f>'1stIA Resource Clearing Results'!D6</f>
        <v>51.33</v>
      </c>
      <c r="F8" s="333">
        <f>'1stIA Resource Clearing Results'!F6</f>
        <v>15</v>
      </c>
      <c r="G8" s="333">
        <f>'1stIA Resource Clearing Results'!H6</f>
        <v>15</v>
      </c>
      <c r="H8" s="566">
        <f>'2ndIA Resource Clearing Results'!D6</f>
        <v>32.87</v>
      </c>
      <c r="I8" s="566">
        <f>'2ndIA Resource Clearing Results'!F6</f>
        <v>10.009999999999998</v>
      </c>
      <c r="J8" s="566">
        <f>'2ndIA Resource Clearing Results'!H6</f>
        <v>10.009999999999998</v>
      </c>
      <c r="K8" s="331" t="s">
        <v>29</v>
      </c>
    </row>
    <row r="9" spans="1:11" ht="12.75">
      <c r="A9" s="331" t="s">
        <v>35</v>
      </c>
      <c r="B9" s="332">
        <f>'BRA Resource Clearing Results'!D7</f>
        <v>119.77</v>
      </c>
      <c r="C9" s="332">
        <f>'BRA Resource Clearing Results'!F7</f>
        <v>99.77</v>
      </c>
      <c r="D9" s="332">
        <f>'BRA Resource Clearing Results'!H7</f>
        <v>99.77</v>
      </c>
      <c r="E9" s="333">
        <f>'1stIA Resource Clearing Results'!D7</f>
        <v>58.55</v>
      </c>
      <c r="F9" s="333">
        <f>'1stIA Resource Clearing Results'!F7</f>
        <v>22.22</v>
      </c>
      <c r="G9" s="333">
        <f>'1stIA Resource Clearing Results'!H7</f>
        <v>22.22</v>
      </c>
      <c r="H9" s="566">
        <f>'2ndIA Resource Clearing Results'!D7</f>
        <v>32.87</v>
      </c>
      <c r="I9" s="566">
        <f>'2ndIA Resource Clearing Results'!F7</f>
        <v>10.009999999999998</v>
      </c>
      <c r="J9" s="566">
        <f>'2ndIA Resource Clearing Results'!H7</f>
        <v>10.009999999999998</v>
      </c>
      <c r="K9" s="331" t="s">
        <v>35</v>
      </c>
    </row>
    <row r="10" spans="1:11" ht="12.75">
      <c r="A10" s="331" t="s">
        <v>5</v>
      </c>
      <c r="B10" s="332">
        <f>'BRA Resource Clearing Results'!D8</f>
        <v>100</v>
      </c>
      <c r="C10" s="332">
        <f>'BRA Resource Clearing Results'!F8</f>
        <v>80</v>
      </c>
      <c r="D10" s="332">
        <f>'BRA Resource Clearing Results'!H8</f>
        <v>80</v>
      </c>
      <c r="E10" s="333">
        <f>'1stIA Resource Clearing Results'!D8</f>
        <v>51.33</v>
      </c>
      <c r="F10" s="333">
        <f>'1stIA Resource Clearing Results'!F8</f>
        <v>15</v>
      </c>
      <c r="G10" s="333">
        <f>'1stIA Resource Clearing Results'!H8</f>
        <v>15</v>
      </c>
      <c r="H10" s="566">
        <f>'2ndIA Resource Clearing Results'!D8</f>
        <v>32.87</v>
      </c>
      <c r="I10" s="566">
        <f>'2ndIA Resource Clearing Results'!F8</f>
        <v>10.009999999999998</v>
      </c>
      <c r="J10" s="566">
        <f>'2ndIA Resource Clearing Results'!H8</f>
        <v>10.009999999999998</v>
      </c>
      <c r="K10" s="331" t="s">
        <v>5</v>
      </c>
    </row>
    <row r="11" spans="1:11" ht="12.75">
      <c r="A11" s="331" t="s">
        <v>8</v>
      </c>
      <c r="B11" s="332">
        <f>'BRA Resource Clearing Results'!D9</f>
        <v>119.77</v>
      </c>
      <c r="C11" s="332">
        <f>'BRA Resource Clearing Results'!F9</f>
        <v>99.77</v>
      </c>
      <c r="D11" s="332">
        <f>'BRA Resource Clearing Results'!H9</f>
        <v>99.77</v>
      </c>
      <c r="E11" s="333">
        <f>'1stIA Resource Clearing Results'!D9</f>
        <v>58.55</v>
      </c>
      <c r="F11" s="333">
        <f>'1stIA Resource Clearing Results'!F9</f>
        <v>22.22</v>
      </c>
      <c r="G11" s="333">
        <f>'1stIA Resource Clearing Results'!H9</f>
        <v>22.22</v>
      </c>
      <c r="H11" s="566">
        <f>'2ndIA Resource Clearing Results'!D9</f>
        <v>32.87</v>
      </c>
      <c r="I11" s="566">
        <f>'2ndIA Resource Clearing Results'!F9</f>
        <v>10.009999999999998</v>
      </c>
      <c r="J11" s="566">
        <f>'2ndIA Resource Clearing Results'!H9</f>
        <v>10.009999999999998</v>
      </c>
      <c r="K11" s="331" t="s">
        <v>8</v>
      </c>
    </row>
    <row r="12" spans="1:11" ht="12.75">
      <c r="A12" s="331" t="s">
        <v>36</v>
      </c>
      <c r="B12" s="332">
        <f>'BRA Resource Clearing Results'!D10</f>
        <v>119.77</v>
      </c>
      <c r="C12" s="332">
        <f>'BRA Resource Clearing Results'!F10</f>
        <v>99.77</v>
      </c>
      <c r="D12" s="332">
        <f>'BRA Resource Clearing Results'!H10</f>
        <v>99.77</v>
      </c>
      <c r="E12" s="333">
        <f>'1stIA Resource Clearing Results'!D10</f>
        <v>58.55</v>
      </c>
      <c r="F12" s="333">
        <f>'1stIA Resource Clearing Results'!F10</f>
        <v>22.22</v>
      </c>
      <c r="G12" s="333">
        <f>'1stIA Resource Clearing Results'!H10</f>
        <v>22.22</v>
      </c>
      <c r="H12" s="566">
        <f>'2ndIA Resource Clearing Results'!D10</f>
        <v>32.87</v>
      </c>
      <c r="I12" s="566">
        <f>'2ndIA Resource Clearing Results'!F10</f>
        <v>10.009999999999998</v>
      </c>
      <c r="J12" s="566">
        <f>'2ndIA Resource Clearing Results'!H10</f>
        <v>10.009999999999998</v>
      </c>
      <c r="K12" s="331" t="s">
        <v>36</v>
      </c>
    </row>
    <row r="13" spans="1:11" ht="12.75">
      <c r="A13" s="331" t="s">
        <v>37</v>
      </c>
      <c r="B13" s="332">
        <f>'BRA Resource Clearing Results'!D11</f>
        <v>119.77</v>
      </c>
      <c r="C13" s="332">
        <f>'BRA Resource Clearing Results'!F11</f>
        <v>99.77</v>
      </c>
      <c r="D13" s="332">
        <f>'BRA Resource Clearing Results'!H11</f>
        <v>99.77</v>
      </c>
      <c r="E13" s="333">
        <f>'1stIA Resource Clearing Results'!D11</f>
        <v>58.55</v>
      </c>
      <c r="F13" s="333">
        <f>'1stIA Resource Clearing Results'!F11</f>
        <v>22.22</v>
      </c>
      <c r="G13" s="333">
        <f>'1stIA Resource Clearing Results'!H11</f>
        <v>22.22</v>
      </c>
      <c r="H13" s="566">
        <f>'2ndIA Resource Clearing Results'!D11</f>
        <v>32.87</v>
      </c>
      <c r="I13" s="566">
        <f>'2ndIA Resource Clearing Results'!F11</f>
        <v>10.009999999999998</v>
      </c>
      <c r="J13" s="566">
        <f>'2ndIA Resource Clearing Results'!H11</f>
        <v>10.009999999999998</v>
      </c>
      <c r="K13" s="331" t="s">
        <v>37</v>
      </c>
    </row>
    <row r="14" spans="1:11" ht="12.75">
      <c r="A14" s="331" t="s">
        <v>15</v>
      </c>
      <c r="B14" s="332">
        <f>'BRA Resource Clearing Results'!D12</f>
        <v>100</v>
      </c>
      <c r="C14" s="332">
        <f>'BRA Resource Clearing Results'!F12</f>
        <v>80</v>
      </c>
      <c r="D14" s="332">
        <f>'BRA Resource Clearing Results'!H12</f>
        <v>0.010000000000005116</v>
      </c>
      <c r="E14" s="333">
        <f>'1stIA Resource Clearing Results'!D12</f>
        <v>51.33</v>
      </c>
      <c r="F14" s="333">
        <f>'1stIA Resource Clearing Results'!F12</f>
        <v>15</v>
      </c>
      <c r="G14" s="333">
        <f>'1stIA Resource Clearing Results'!H12</f>
        <v>15</v>
      </c>
      <c r="H14" s="566">
        <f>'2ndIA Resource Clearing Results'!D12</f>
        <v>32.87</v>
      </c>
      <c r="I14" s="566">
        <f>'2ndIA Resource Clearing Results'!F12</f>
        <v>10.009999999999998</v>
      </c>
      <c r="J14" s="566">
        <f>'2ndIA Resource Clearing Results'!H12</f>
        <v>10.009999999999998</v>
      </c>
      <c r="K14" s="331" t="s">
        <v>15</v>
      </c>
    </row>
    <row r="15" spans="1:11" ht="12.75">
      <c r="A15" s="331" t="s">
        <v>45</v>
      </c>
      <c r="B15" s="332">
        <f>'BRA Resource Clearing Results'!D13</f>
        <v>100</v>
      </c>
      <c r="C15" s="332">
        <f>'BRA Resource Clearing Results'!F13</f>
        <v>80</v>
      </c>
      <c r="D15" s="332">
        <f>'BRA Resource Clearing Results'!H13</f>
        <v>80</v>
      </c>
      <c r="E15" s="333">
        <f>'1stIA Resource Clearing Results'!D13</f>
        <v>51.33</v>
      </c>
      <c r="F15" s="333">
        <f>'1stIA Resource Clearing Results'!F13</f>
        <v>15</v>
      </c>
      <c r="G15" s="333">
        <f>'1stIA Resource Clearing Results'!H13</f>
        <v>15</v>
      </c>
      <c r="H15" s="566">
        <f>'2ndIA Resource Clearing Results'!D13</f>
        <v>32.87</v>
      </c>
      <c r="I15" s="566">
        <f>'2ndIA Resource Clearing Results'!F13</f>
        <v>10.009999999999998</v>
      </c>
      <c r="J15" s="566">
        <f>'2ndIA Resource Clearing Results'!H13</f>
        <v>10.009999999999998</v>
      </c>
      <c r="K15" s="331" t="s">
        <v>45</v>
      </c>
    </row>
    <row r="16" spans="1:11" ht="12.75">
      <c r="A16" s="331" t="s">
        <v>127</v>
      </c>
      <c r="B16" s="332">
        <f>'BRA Resource Clearing Results'!D14</f>
        <v>100</v>
      </c>
      <c r="C16" s="332">
        <f>'BRA Resource Clearing Results'!F14</f>
        <v>80</v>
      </c>
      <c r="D16" s="332">
        <f>'BRA Resource Clearing Results'!H14</f>
        <v>80</v>
      </c>
      <c r="E16" s="333">
        <f>'1stIA Resource Clearing Results'!D14</f>
        <v>51.33</v>
      </c>
      <c r="F16" s="333">
        <f>'1stIA Resource Clearing Results'!F14</f>
        <v>15</v>
      </c>
      <c r="G16" s="333">
        <f>'1stIA Resource Clearing Results'!H14</f>
        <v>15</v>
      </c>
      <c r="H16" s="566">
        <f>'2ndIA Resource Clearing Results'!D14</f>
        <v>32.87</v>
      </c>
      <c r="I16" s="566">
        <f>'2ndIA Resource Clearing Results'!F14</f>
        <v>10.009999999999998</v>
      </c>
      <c r="J16" s="566">
        <f>'2ndIA Resource Clearing Results'!H14</f>
        <v>10.009999999999998</v>
      </c>
      <c r="K16" s="331" t="s">
        <v>127</v>
      </c>
    </row>
    <row r="17" spans="1:11" ht="12.75">
      <c r="A17" s="331" t="s">
        <v>20</v>
      </c>
      <c r="B17" s="332">
        <f>'BRA Resource Clearing Results'!D15</f>
        <v>202.76999999999998</v>
      </c>
      <c r="C17" s="332">
        <f>'BRA Resource Clearing Results'!F15</f>
        <v>182.76999999999998</v>
      </c>
      <c r="D17" s="332">
        <f>'BRA Resource Clearing Results'!H15</f>
        <v>182.76999999999998</v>
      </c>
      <c r="E17" s="333">
        <f>'1stIA Resource Clearing Results'!D15</f>
        <v>51.33</v>
      </c>
      <c r="F17" s="333">
        <f>'1stIA Resource Clearing Results'!F15</f>
        <v>15</v>
      </c>
      <c r="G17" s="333">
        <f>'1stIA Resource Clearing Results'!H15</f>
        <v>15</v>
      </c>
      <c r="H17" s="566">
        <f>'2ndIA Resource Clearing Results'!D15</f>
        <v>32.87</v>
      </c>
      <c r="I17" s="566">
        <f>'2ndIA Resource Clearing Results'!F15</f>
        <v>10.009999999999998</v>
      </c>
      <c r="J17" s="566">
        <f>'2ndIA Resource Clearing Results'!H15</f>
        <v>10.009999999999998</v>
      </c>
      <c r="K17" s="331" t="s">
        <v>20</v>
      </c>
    </row>
    <row r="18" spans="1:11" ht="12.75">
      <c r="A18" s="331" t="s">
        <v>11</v>
      </c>
      <c r="B18" s="332">
        <f>'BRA Resource Clearing Results'!D16</f>
        <v>100.3</v>
      </c>
      <c r="C18" s="332">
        <f>'BRA Resource Clearing Results'!F16</f>
        <v>80.3</v>
      </c>
      <c r="D18" s="332">
        <f>'BRA Resource Clearing Results'!H16</f>
        <v>80.3</v>
      </c>
      <c r="E18" s="333">
        <f>'1stIA Resource Clearing Results'!D16</f>
        <v>51.33</v>
      </c>
      <c r="F18" s="333">
        <f>'1stIA Resource Clearing Results'!F16</f>
        <v>15</v>
      </c>
      <c r="G18" s="333">
        <f>'1stIA Resource Clearing Results'!H16</f>
        <v>15</v>
      </c>
      <c r="H18" s="566">
        <f>'2ndIA Resource Clearing Results'!D16</f>
        <v>55</v>
      </c>
      <c r="I18" s="566">
        <f>'2ndIA Resource Clearing Results'!F16</f>
        <v>32.14</v>
      </c>
      <c r="J18" s="566">
        <f>'2ndIA Resource Clearing Results'!H16</f>
        <v>32.14</v>
      </c>
      <c r="K18" s="331" t="s">
        <v>11</v>
      </c>
    </row>
    <row r="19" spans="1:11" ht="12.75">
      <c r="A19" s="331" t="s">
        <v>10</v>
      </c>
      <c r="B19" s="332">
        <f>'BRA Resource Clearing Results'!D17</f>
        <v>100</v>
      </c>
      <c r="C19" s="332">
        <f>'BRA Resource Clearing Results'!F17</f>
        <v>80</v>
      </c>
      <c r="D19" s="332">
        <f>'BRA Resource Clearing Results'!H17</f>
        <v>80</v>
      </c>
      <c r="E19" s="333">
        <f>'1stIA Resource Clearing Results'!D17</f>
        <v>51.33</v>
      </c>
      <c r="F19" s="333">
        <f>'1stIA Resource Clearing Results'!F17</f>
        <v>15</v>
      </c>
      <c r="G19" s="333">
        <f>'1stIA Resource Clearing Results'!H17</f>
        <v>15</v>
      </c>
      <c r="H19" s="566">
        <f>'2ndIA Resource Clearing Results'!D17</f>
        <v>32.87</v>
      </c>
      <c r="I19" s="566">
        <f>'2ndIA Resource Clearing Results'!F17</f>
        <v>10.009999999999998</v>
      </c>
      <c r="J19" s="566">
        <f>'2ndIA Resource Clearing Results'!H17</f>
        <v>10.009999999999998</v>
      </c>
      <c r="K19" s="331" t="s">
        <v>10</v>
      </c>
    </row>
    <row r="20" spans="1:11" ht="12.75">
      <c r="A20" s="331" t="s">
        <v>142</v>
      </c>
      <c r="B20" s="335" t="s">
        <v>147</v>
      </c>
      <c r="C20" s="335" t="s">
        <v>147</v>
      </c>
      <c r="D20" s="335" t="s">
        <v>147</v>
      </c>
      <c r="E20" s="336" t="s">
        <v>147</v>
      </c>
      <c r="F20" s="336" t="s">
        <v>147</v>
      </c>
      <c r="G20" s="336" t="s">
        <v>147</v>
      </c>
      <c r="H20" s="567" t="s">
        <v>147</v>
      </c>
      <c r="I20" s="567" t="s">
        <v>147</v>
      </c>
      <c r="J20" s="567" t="s">
        <v>147</v>
      </c>
      <c r="K20" s="331" t="s">
        <v>142</v>
      </c>
    </row>
    <row r="21" spans="1:11" ht="12.75">
      <c r="A21" s="331" t="s">
        <v>143</v>
      </c>
      <c r="B21" s="335" t="s">
        <v>147</v>
      </c>
      <c r="C21" s="335" t="s">
        <v>147</v>
      </c>
      <c r="D21" s="335" t="s">
        <v>147</v>
      </c>
      <c r="E21" s="336" t="s">
        <v>147</v>
      </c>
      <c r="F21" s="336" t="s">
        <v>147</v>
      </c>
      <c r="G21" s="336" t="s">
        <v>147</v>
      </c>
      <c r="H21" s="567" t="s">
        <v>147</v>
      </c>
      <c r="I21" s="567" t="s">
        <v>147</v>
      </c>
      <c r="J21" s="567" t="s">
        <v>147</v>
      </c>
      <c r="K21" s="331" t="s">
        <v>143</v>
      </c>
    </row>
    <row r="22" spans="1:11" ht="12.75">
      <c r="A22" s="331" t="s">
        <v>144</v>
      </c>
      <c r="B22" s="335" t="s">
        <v>147</v>
      </c>
      <c r="C22" s="335" t="s">
        <v>147</v>
      </c>
      <c r="D22" s="335" t="s">
        <v>147</v>
      </c>
      <c r="E22" s="336" t="s">
        <v>147</v>
      </c>
      <c r="F22" s="336" t="s">
        <v>147</v>
      </c>
      <c r="G22" s="336" t="s">
        <v>147</v>
      </c>
      <c r="H22" s="567" t="s">
        <v>147</v>
      </c>
      <c r="I22" s="567" t="s">
        <v>147</v>
      </c>
      <c r="J22" s="567" t="s">
        <v>147</v>
      </c>
      <c r="K22" s="331" t="s">
        <v>144</v>
      </c>
    </row>
    <row r="23" spans="1:11" ht="12.75">
      <c r="A23" s="331" t="s">
        <v>145</v>
      </c>
      <c r="B23" s="335" t="s">
        <v>147</v>
      </c>
      <c r="C23" s="335" t="s">
        <v>147</v>
      </c>
      <c r="D23" s="335" t="s">
        <v>147</v>
      </c>
      <c r="E23" s="336" t="s">
        <v>147</v>
      </c>
      <c r="F23" s="336" t="s">
        <v>147</v>
      </c>
      <c r="G23" s="336" t="s">
        <v>147</v>
      </c>
      <c r="H23" s="567" t="s">
        <v>147</v>
      </c>
      <c r="I23" s="567" t="s">
        <v>147</v>
      </c>
      <c r="J23" s="567" t="s">
        <v>147</v>
      </c>
      <c r="K23" s="331" t="s">
        <v>145</v>
      </c>
    </row>
    <row r="24" spans="1:11" ht="12.75">
      <c r="A24" s="331" t="s">
        <v>146</v>
      </c>
      <c r="B24" s="335" t="s">
        <v>147</v>
      </c>
      <c r="C24" s="335" t="s">
        <v>147</v>
      </c>
      <c r="D24" s="335" t="s">
        <v>147</v>
      </c>
      <c r="E24" s="336" t="s">
        <v>147</v>
      </c>
      <c r="F24" s="336" t="s">
        <v>147</v>
      </c>
      <c r="G24" s="336" t="s">
        <v>147</v>
      </c>
      <c r="H24" s="567" t="s">
        <v>147</v>
      </c>
      <c r="I24" s="567" t="s">
        <v>147</v>
      </c>
      <c r="J24" s="567" t="s">
        <v>147</v>
      </c>
      <c r="K24" s="331" t="s">
        <v>146</v>
      </c>
    </row>
    <row r="25" spans="1:10" ht="12.75">
      <c r="A25" s="314" t="s">
        <v>24</v>
      </c>
      <c r="B25" s="314"/>
      <c r="C25" s="314"/>
      <c r="D25" s="134"/>
      <c r="E25" s="134"/>
      <c r="F25" s="134"/>
      <c r="G25" s="134"/>
      <c r="H25" s="134"/>
      <c r="I25" s="134"/>
      <c r="J25" s="134"/>
    </row>
    <row r="26" spans="1:10" s="2" customFormat="1" ht="18">
      <c r="A26" s="329" t="s">
        <v>244</v>
      </c>
      <c r="B26" s="180"/>
      <c r="C26" s="180"/>
      <c r="D26" s="180"/>
      <c r="E26" s="180"/>
      <c r="F26" s="23"/>
      <c r="G26" s="23"/>
      <c r="H26" s="23"/>
      <c r="I26" s="23"/>
      <c r="J26" s="134"/>
    </row>
    <row r="27" spans="1:14" ht="12.75">
      <c r="A27" s="606" t="s">
        <v>3</v>
      </c>
      <c r="B27" s="614" t="s">
        <v>121</v>
      </c>
      <c r="C27" s="614"/>
      <c r="D27" s="614"/>
      <c r="E27" s="614"/>
      <c r="F27" s="613" t="s">
        <v>236</v>
      </c>
      <c r="G27" s="613"/>
      <c r="H27" s="613"/>
      <c r="I27" s="613"/>
      <c r="J27" s="608" t="s">
        <v>340</v>
      </c>
      <c r="K27" s="608"/>
      <c r="L27" s="608"/>
      <c r="M27" s="608"/>
      <c r="N27" s="606" t="s">
        <v>3</v>
      </c>
    </row>
    <row r="28" spans="1:14" ht="19.5" customHeight="1">
      <c r="A28" s="606"/>
      <c r="B28" s="614" t="s">
        <v>245</v>
      </c>
      <c r="C28" s="614"/>
      <c r="D28" s="614"/>
      <c r="E28" s="614"/>
      <c r="F28" s="613" t="s">
        <v>246</v>
      </c>
      <c r="G28" s="613"/>
      <c r="H28" s="613"/>
      <c r="I28" s="613"/>
      <c r="J28" s="608" t="s">
        <v>246</v>
      </c>
      <c r="K28" s="608"/>
      <c r="L28" s="608"/>
      <c r="M28" s="608"/>
      <c r="N28" s="606"/>
    </row>
    <row r="29" spans="1:14" ht="38.25">
      <c r="A29" s="606"/>
      <c r="B29" s="318" t="s">
        <v>247</v>
      </c>
      <c r="C29" s="318" t="s">
        <v>248</v>
      </c>
      <c r="D29" s="318" t="s">
        <v>249</v>
      </c>
      <c r="E29" s="318" t="s">
        <v>250</v>
      </c>
      <c r="F29" s="319" t="s">
        <v>247</v>
      </c>
      <c r="G29" s="319" t="s">
        <v>248</v>
      </c>
      <c r="H29" s="319" t="s">
        <v>249</v>
      </c>
      <c r="I29" s="319" t="s">
        <v>250</v>
      </c>
      <c r="J29" s="562" t="s">
        <v>247</v>
      </c>
      <c r="K29" s="562" t="s">
        <v>248</v>
      </c>
      <c r="L29" s="562" t="s">
        <v>249</v>
      </c>
      <c r="M29" s="562" t="s">
        <v>250</v>
      </c>
      <c r="N29" s="606"/>
    </row>
    <row r="30" spans="1:14" ht="12.75">
      <c r="A30" s="331" t="s">
        <v>6</v>
      </c>
      <c r="B30" s="338">
        <f>'BRA Resource Clearing Results'!B29</f>
        <v>140307.3</v>
      </c>
      <c r="C30" s="338">
        <f>'BRA Resource Clearing Results'!C29</f>
        <v>16807.3</v>
      </c>
      <c r="D30" s="338">
        <f>'BRA Resource Clearing Results'!D29</f>
        <v>10191.3</v>
      </c>
      <c r="E30" s="338">
        <f>B30+C30+D30</f>
        <v>167305.89999999997</v>
      </c>
      <c r="F30" s="339">
        <f>'1stIA Resource Clearing Results'!J29</f>
        <v>0</v>
      </c>
      <c r="G30" s="339">
        <f>'1stIA Resource Clearing Results'!K29</f>
        <v>1252.3</v>
      </c>
      <c r="H30" s="339">
        <f>'1stIA Resource Clearing Results'!L29</f>
        <v>444.59999999999997</v>
      </c>
      <c r="I30" s="339">
        <f>F30+G30+H30</f>
        <v>1696.8999999999999</v>
      </c>
      <c r="J30" s="568">
        <f>'2ndIA Resource Clearing Results'!J29</f>
        <v>-265.9000000000001</v>
      </c>
      <c r="K30" s="568">
        <f>'2ndIA Resource Clearing Results'!K29</f>
        <v>692.4000000000001</v>
      </c>
      <c r="L30" s="568">
        <f>'2ndIA Resource Clearing Results'!L29</f>
        <v>254.49999999999997</v>
      </c>
      <c r="M30" s="568">
        <f>J30+K30+L30</f>
        <v>681</v>
      </c>
      <c r="N30" s="331" t="s">
        <v>6</v>
      </c>
    </row>
    <row r="31" spans="1:14" ht="12.75">
      <c r="A31" s="331" t="s">
        <v>29</v>
      </c>
      <c r="B31" s="338">
        <f>'BRA Resource Clearing Results'!B30</f>
        <v>54308.5</v>
      </c>
      <c r="C31" s="338">
        <f>'BRA Resource Clearing Results'!C30</f>
        <v>6907.5</v>
      </c>
      <c r="D31" s="338">
        <f>'BRA Resource Clearing Results'!D30</f>
        <v>3699</v>
      </c>
      <c r="E31" s="338">
        <f aca="true" t="shared" si="0" ref="E31:E42">B31+C31+D31</f>
        <v>64915</v>
      </c>
      <c r="F31" s="339">
        <f>'1stIA Resource Clearing Results'!J30</f>
        <v>562.6</v>
      </c>
      <c r="G31" s="339">
        <f>'1stIA Resource Clearing Results'!K30</f>
        <v>89.39999999999999</v>
      </c>
      <c r="H31" s="339">
        <f>'1stIA Resource Clearing Results'!L30</f>
        <v>282.5</v>
      </c>
      <c r="I31" s="339">
        <f>F31+G31+H31</f>
        <v>934.5</v>
      </c>
      <c r="J31" s="568">
        <f>'2ndIA Resource Clearing Results'!J30</f>
        <v>24.899999999999977</v>
      </c>
      <c r="K31" s="568">
        <f>'2ndIA Resource Clearing Results'!K30</f>
        <v>-13.299999999999997</v>
      </c>
      <c r="L31" s="568">
        <f>'2ndIA Resource Clearing Results'!L30</f>
        <v>93.80000000000001</v>
      </c>
      <c r="M31" s="568">
        <f>J31+K31+L31</f>
        <v>105.39999999999999</v>
      </c>
      <c r="N31" s="331" t="s">
        <v>29</v>
      </c>
    </row>
    <row r="32" spans="1:14" ht="12.75">
      <c r="A32" s="331" t="s">
        <v>35</v>
      </c>
      <c r="B32" s="338">
        <f>'BRA Resource Clearing Results'!B31</f>
        <v>24003.8</v>
      </c>
      <c r="C32" s="338">
        <f>'BRA Resource Clearing Results'!C31</f>
        <v>5136</v>
      </c>
      <c r="D32" s="338">
        <f>'BRA Resource Clearing Results'!D31</f>
        <v>1629.5</v>
      </c>
      <c r="E32" s="338">
        <f t="shared" si="0"/>
        <v>30769.3</v>
      </c>
      <c r="F32" s="339">
        <f>'1stIA Resource Clearing Results'!J31</f>
        <v>48.99999999999999</v>
      </c>
      <c r="G32" s="339">
        <f>'1stIA Resource Clearing Results'!K31</f>
        <v>-37.199999999999996</v>
      </c>
      <c r="H32" s="339">
        <f>'1stIA Resource Clearing Results'!L31</f>
        <v>238.3</v>
      </c>
      <c r="I32" s="339">
        <f aca="true" t="shared" si="1" ref="I32:I42">F32+G32+H32</f>
        <v>250.10000000000002</v>
      </c>
      <c r="J32" s="568">
        <f>'2ndIA Resource Clearing Results'!J31</f>
        <v>-231.8</v>
      </c>
      <c r="K32" s="568">
        <f>'2ndIA Resource Clearing Results'!K31</f>
        <v>-10.399999999999999</v>
      </c>
      <c r="L32" s="568">
        <f>'2ndIA Resource Clearing Results'!L31</f>
        <v>34.8</v>
      </c>
      <c r="M32" s="568">
        <f aca="true" t="shared" si="2" ref="M32:M42">J32+K32+L32</f>
        <v>-207.40000000000003</v>
      </c>
      <c r="N32" s="331" t="s">
        <v>35</v>
      </c>
    </row>
    <row r="33" spans="1:14" ht="12.75">
      <c r="A33" s="331" t="s">
        <v>5</v>
      </c>
      <c r="B33" s="338">
        <f>'BRA Resource Clearing Results'!B32</f>
        <v>10272.4</v>
      </c>
      <c r="C33" s="338">
        <f>'BRA Resource Clearing Results'!C32</f>
        <v>394.80000000000007</v>
      </c>
      <c r="D33" s="338">
        <f>'BRA Resource Clearing Results'!D32</f>
        <v>727.4</v>
      </c>
      <c r="E33" s="338">
        <f t="shared" si="0"/>
        <v>11394.599999999999</v>
      </c>
      <c r="F33" s="339">
        <f>'1stIA Resource Clearing Results'!J32</f>
        <v>898.7</v>
      </c>
      <c r="G33" s="339">
        <f>'1stIA Resource Clearing Results'!K32</f>
        <v>8.7</v>
      </c>
      <c r="H33" s="339">
        <f>'1stIA Resource Clearing Results'!L32</f>
        <v>9.6</v>
      </c>
      <c r="I33" s="339">
        <f t="shared" si="1"/>
        <v>917.0000000000001</v>
      </c>
      <c r="J33" s="568">
        <f>'2ndIA Resource Clearing Results'!J32</f>
        <v>195.60000000000002</v>
      </c>
      <c r="K33" s="568">
        <f>'2ndIA Resource Clearing Results'!K32</f>
        <v>-51.1</v>
      </c>
      <c r="L33" s="568">
        <f>'2ndIA Resource Clearing Results'!L32</f>
        <v>-24.8</v>
      </c>
      <c r="M33" s="568">
        <f t="shared" si="2"/>
        <v>119.70000000000003</v>
      </c>
      <c r="N33" s="331" t="s">
        <v>5</v>
      </c>
    </row>
    <row r="34" spans="1:14" ht="12.75">
      <c r="A34" s="331" t="s">
        <v>8</v>
      </c>
      <c r="B34" s="338">
        <f>'BRA Resource Clearing Results'!B33</f>
        <v>4986.6</v>
      </c>
      <c r="C34" s="338">
        <f>'BRA Resource Clearing Results'!C33</f>
        <v>108.69999999999999</v>
      </c>
      <c r="D34" s="338">
        <f>'BRA Resource Clearing Results'!D33</f>
        <v>359.7</v>
      </c>
      <c r="E34" s="338">
        <f t="shared" si="0"/>
        <v>5455</v>
      </c>
      <c r="F34" s="339">
        <f>'1stIA Resource Clearing Results'!J33</f>
        <v>-15.6</v>
      </c>
      <c r="G34" s="339">
        <f>'1stIA Resource Clearing Results'!K33</f>
        <v>-16.9</v>
      </c>
      <c r="H34" s="339">
        <f>'1stIA Resource Clearing Results'!L33</f>
        <v>54.5</v>
      </c>
      <c r="I34" s="339">
        <f t="shared" si="1"/>
        <v>22</v>
      </c>
      <c r="J34" s="568">
        <f>'2ndIA Resource Clearing Results'!J33</f>
        <v>-55.9</v>
      </c>
      <c r="K34" s="568">
        <f>'2ndIA Resource Clearing Results'!K33</f>
        <v>-2.5</v>
      </c>
      <c r="L34" s="568">
        <f>'2ndIA Resource Clearing Results'!L33</f>
        <v>11.400000000000002</v>
      </c>
      <c r="M34" s="568">
        <f t="shared" si="2"/>
        <v>-47</v>
      </c>
      <c r="N34" s="331" t="s">
        <v>8</v>
      </c>
    </row>
    <row r="35" spans="1:14" ht="12.75">
      <c r="A35" s="331" t="s">
        <v>36</v>
      </c>
      <c r="B35" s="338">
        <f>'BRA Resource Clearing Results'!B34</f>
        <v>2993.1000000000004</v>
      </c>
      <c r="C35" s="338">
        <f>'BRA Resource Clearing Results'!C34</f>
        <v>44.69999999999999</v>
      </c>
      <c r="D35" s="338">
        <f>'BRA Resource Clearing Results'!D34</f>
        <v>167.5</v>
      </c>
      <c r="E35" s="338">
        <f t="shared" si="0"/>
        <v>3205.3</v>
      </c>
      <c r="F35" s="339">
        <f>'1stIA Resource Clearing Results'!J34</f>
        <v>-15.100000000000001</v>
      </c>
      <c r="G35" s="339">
        <f>'1stIA Resource Clearing Results'!K34</f>
        <v>-10</v>
      </c>
      <c r="H35" s="339">
        <f>'1stIA Resource Clearing Results'!L34</f>
        <v>21.900000000000002</v>
      </c>
      <c r="I35" s="339">
        <f t="shared" si="1"/>
        <v>-3.1999999999999993</v>
      </c>
      <c r="J35" s="568">
        <f>'2ndIA Resource Clearing Results'!J34</f>
        <v>-42.6</v>
      </c>
      <c r="K35" s="568">
        <f>'2ndIA Resource Clearing Results'!K34</f>
        <v>-0.3</v>
      </c>
      <c r="L35" s="568">
        <f>'2ndIA Resource Clearing Results'!L34</f>
        <v>4</v>
      </c>
      <c r="M35" s="568">
        <f t="shared" si="2"/>
        <v>-38.9</v>
      </c>
      <c r="N35" s="331" t="s">
        <v>36</v>
      </c>
    </row>
    <row r="36" spans="1:14" ht="12.75">
      <c r="A36" s="331" t="s">
        <v>37</v>
      </c>
      <c r="B36" s="338">
        <f>'BRA Resource Clearing Results'!B35</f>
        <v>1464.7</v>
      </c>
      <c r="C36" s="338">
        <f>'BRA Resource Clearing Results'!C35</f>
        <v>42.70000000000002</v>
      </c>
      <c r="D36" s="338">
        <f>'BRA Resource Clearing Results'!D35</f>
        <v>91.1</v>
      </c>
      <c r="E36" s="338">
        <f t="shared" si="0"/>
        <v>1598.5</v>
      </c>
      <c r="F36" s="339">
        <f>'1stIA Resource Clearing Results'!J35</f>
        <v>6.2</v>
      </c>
      <c r="G36" s="339">
        <f>'1stIA Resource Clearing Results'!K35</f>
        <v>-9.5</v>
      </c>
      <c r="H36" s="339">
        <f>'1stIA Resource Clearing Results'!L35</f>
        <v>17</v>
      </c>
      <c r="I36" s="339">
        <f t="shared" si="1"/>
        <v>13.7</v>
      </c>
      <c r="J36" s="568">
        <f>'2ndIA Resource Clearing Results'!J35</f>
        <v>-2.2</v>
      </c>
      <c r="K36" s="568">
        <f>'2ndIA Resource Clearing Results'!K35</f>
        <v>-19</v>
      </c>
      <c r="L36" s="568">
        <f>'2ndIA Resource Clearing Results'!L35</f>
        <v>1.4</v>
      </c>
      <c r="M36" s="568">
        <f t="shared" si="2"/>
        <v>-19.8</v>
      </c>
      <c r="N36" s="331" t="s">
        <v>37</v>
      </c>
    </row>
    <row r="37" spans="1:14" ht="12.75">
      <c r="A37" s="331" t="s">
        <v>15</v>
      </c>
      <c r="B37" s="338">
        <f>'BRA Resource Clearing Results'!B36</f>
        <v>5725.6</v>
      </c>
      <c r="C37" s="338">
        <f>'BRA Resource Clearing Results'!C36</f>
        <v>48.299999999999955</v>
      </c>
      <c r="D37" s="338">
        <f>'BRA Resource Clearing Results'!D36</f>
        <v>474.5</v>
      </c>
      <c r="E37" s="338">
        <f t="shared" si="0"/>
        <v>6248.400000000001</v>
      </c>
      <c r="F37" s="339">
        <f>'1stIA Resource Clearing Results'!J36</f>
        <v>761.8</v>
      </c>
      <c r="G37" s="339">
        <f>'1stIA Resource Clearing Results'!K36</f>
        <v>26.4</v>
      </c>
      <c r="H37" s="339">
        <f>'1stIA Resource Clearing Results'!L36</f>
        <v>-5.4</v>
      </c>
      <c r="I37" s="339">
        <f t="shared" si="1"/>
        <v>782.8</v>
      </c>
      <c r="J37" s="568">
        <f>'2ndIA Resource Clearing Results'!J36</f>
        <v>26.8</v>
      </c>
      <c r="K37" s="568">
        <f>'2ndIA Resource Clearing Results'!K36</f>
        <v>0</v>
      </c>
      <c r="L37" s="568">
        <f>'2ndIA Resource Clearing Results'!L36</f>
        <v>-23.6</v>
      </c>
      <c r="M37" s="568">
        <f t="shared" si="2"/>
        <v>3.1999999999999993</v>
      </c>
      <c r="N37" s="331" t="s">
        <v>15</v>
      </c>
    </row>
    <row r="38" spans="1:14" ht="12.75">
      <c r="A38" s="331" t="s">
        <v>45</v>
      </c>
      <c r="B38" s="338">
        <f>'BRA Resource Clearing Results'!B37</f>
        <v>8804</v>
      </c>
      <c r="C38" s="338">
        <f>'BRA Resource Clearing Results'!C37</f>
        <v>695.3</v>
      </c>
      <c r="D38" s="338">
        <f>'BRA Resource Clearing Results'!D37</f>
        <v>791.8</v>
      </c>
      <c r="E38" s="338">
        <f t="shared" si="0"/>
        <v>10291.099999999999</v>
      </c>
      <c r="F38" s="339">
        <f>'1stIA Resource Clearing Results'!J37</f>
        <v>-139.7</v>
      </c>
      <c r="G38" s="339">
        <f>'1stIA Resource Clearing Results'!K37</f>
        <v>0</v>
      </c>
      <c r="H38" s="339">
        <f>'1stIA Resource Clearing Results'!L37</f>
        <v>2.9000000000000004</v>
      </c>
      <c r="I38" s="339">
        <f t="shared" si="1"/>
        <v>-136.79999999999998</v>
      </c>
      <c r="J38" s="568">
        <f>'2ndIA Resource Clearing Results'!J37</f>
        <v>-86.29999999999998</v>
      </c>
      <c r="K38" s="568">
        <f>'2ndIA Resource Clearing Results'!K37</f>
        <v>0</v>
      </c>
      <c r="L38" s="568">
        <f>'2ndIA Resource Clearing Results'!L37</f>
        <v>22.700000000000003</v>
      </c>
      <c r="M38" s="568">
        <f t="shared" si="2"/>
        <v>-63.59999999999998</v>
      </c>
      <c r="N38" s="331" t="s">
        <v>45</v>
      </c>
    </row>
    <row r="39" spans="1:14" ht="12.75">
      <c r="A39" s="331" t="s">
        <v>127</v>
      </c>
      <c r="B39" s="338">
        <f>'BRA Resource Clearing Results'!B38</f>
        <v>1821.9</v>
      </c>
      <c r="C39" s="338">
        <f>'BRA Resource Clearing Results'!C38</f>
        <v>0</v>
      </c>
      <c r="D39" s="338">
        <f>'BRA Resource Clearing Results'!D38</f>
        <v>267.1</v>
      </c>
      <c r="E39" s="338">
        <f t="shared" si="0"/>
        <v>2089</v>
      </c>
      <c r="F39" s="339">
        <f>'1stIA Resource Clearing Results'!J38</f>
        <v>-49.7</v>
      </c>
      <c r="G39" s="339">
        <f>'1stIA Resource Clearing Results'!K38</f>
        <v>0</v>
      </c>
      <c r="H39" s="339">
        <f>'1stIA Resource Clearing Results'!L38</f>
        <v>5.1</v>
      </c>
      <c r="I39" s="339">
        <f t="shared" si="1"/>
        <v>-44.6</v>
      </c>
      <c r="J39" s="568">
        <f>'2ndIA Resource Clearing Results'!J38</f>
        <v>-11.899999999999999</v>
      </c>
      <c r="K39" s="568">
        <f>'2ndIA Resource Clearing Results'!K38</f>
        <v>0</v>
      </c>
      <c r="L39" s="568">
        <f>'2ndIA Resource Clearing Results'!L38</f>
        <v>12.5</v>
      </c>
      <c r="M39" s="568">
        <f t="shared" si="2"/>
        <v>0.6000000000000014</v>
      </c>
      <c r="N39" s="331" t="s">
        <v>127</v>
      </c>
    </row>
    <row r="40" spans="1:14" ht="12.75">
      <c r="A40" s="331" t="s">
        <v>20</v>
      </c>
      <c r="B40" s="338">
        <f>'BRA Resource Clearing Results'!B39</f>
        <v>19809.9</v>
      </c>
      <c r="C40" s="338">
        <f>'BRA Resource Clearing Results'!C39</f>
        <v>1216.3</v>
      </c>
      <c r="D40" s="338">
        <f>'BRA Resource Clearing Results'!D39</f>
        <v>1945.2</v>
      </c>
      <c r="E40" s="338">
        <f t="shared" si="0"/>
        <v>22971.4</v>
      </c>
      <c r="F40" s="339">
        <f>'1stIA Resource Clearing Results'!J39</f>
        <v>-558.9000000000001</v>
      </c>
      <c r="G40" s="339">
        <f>'1stIA Resource Clearing Results'!K39</f>
        <v>107.3</v>
      </c>
      <c r="H40" s="339">
        <f>'1stIA Resource Clearing Results'!L39</f>
        <v>26.3</v>
      </c>
      <c r="I40" s="339">
        <f t="shared" si="1"/>
        <v>-425.30000000000007</v>
      </c>
      <c r="J40" s="568">
        <f>'2ndIA Resource Clearing Results'!J39</f>
        <v>-47.7</v>
      </c>
      <c r="K40" s="568">
        <f>'2ndIA Resource Clearing Results'!K39</f>
        <v>2.799999999999999</v>
      </c>
      <c r="L40" s="568">
        <f>'2ndIA Resource Clearing Results'!L39</f>
        <v>37.800000000000004</v>
      </c>
      <c r="M40" s="568">
        <f t="shared" si="2"/>
        <v>-7.100000000000001</v>
      </c>
      <c r="N40" s="331" t="s">
        <v>20</v>
      </c>
    </row>
    <row r="41" spans="1:14" ht="12.75">
      <c r="A41" s="331" t="s">
        <v>11</v>
      </c>
      <c r="B41" s="338">
        <f>'BRA Resource Clearing Results'!B40</f>
        <v>2140.1</v>
      </c>
      <c r="C41" s="338">
        <f>'BRA Resource Clearing Results'!C40</f>
        <v>346.5</v>
      </c>
      <c r="D41" s="338">
        <f>'BRA Resource Clearing Results'!D40</f>
        <v>252.9</v>
      </c>
      <c r="E41" s="338">
        <f t="shared" si="0"/>
        <v>2739.5</v>
      </c>
      <c r="F41" s="339">
        <f>'1stIA Resource Clearing Results'!J40</f>
        <v>136.9</v>
      </c>
      <c r="G41" s="339">
        <f>'1stIA Resource Clearing Results'!K40</f>
        <v>-17.7</v>
      </c>
      <c r="H41" s="339">
        <f>'1stIA Resource Clearing Results'!L40</f>
        <v>15</v>
      </c>
      <c r="I41" s="339">
        <f t="shared" si="1"/>
        <v>134.2</v>
      </c>
      <c r="J41" s="568">
        <f>'2ndIA Resource Clearing Results'!J40</f>
        <v>188.8</v>
      </c>
      <c r="K41" s="568">
        <f>'2ndIA Resource Clearing Results'!K40</f>
        <v>-51.1</v>
      </c>
      <c r="L41" s="568">
        <f>'2ndIA Resource Clearing Results'!L40</f>
        <v>-1.2</v>
      </c>
      <c r="M41" s="568">
        <f t="shared" si="2"/>
        <v>136.50000000000003</v>
      </c>
      <c r="N41" s="331" t="s">
        <v>11</v>
      </c>
    </row>
    <row r="42" spans="1:14" ht="12.75">
      <c r="A42" s="331" t="s">
        <v>10</v>
      </c>
      <c r="B42" s="338">
        <f>'BRA Resource Clearing Results'!B41</f>
        <v>8216.6</v>
      </c>
      <c r="C42" s="338">
        <f>'BRA Resource Clearing Results'!C41</f>
        <v>729.1</v>
      </c>
      <c r="D42" s="338">
        <f>'BRA Resource Clearing Results'!D41</f>
        <v>703.9</v>
      </c>
      <c r="E42" s="338">
        <f t="shared" si="0"/>
        <v>9649.6</v>
      </c>
      <c r="F42" s="339">
        <f>'1stIA Resource Clearing Results'!J41</f>
        <v>-151.6</v>
      </c>
      <c r="G42" s="339">
        <f>'1stIA Resource Clearing Results'!K41</f>
        <v>1.2</v>
      </c>
      <c r="H42" s="339">
        <f>'1stIA Resource Clearing Results'!L41</f>
        <v>13.5</v>
      </c>
      <c r="I42" s="339">
        <f t="shared" si="1"/>
        <v>-136.9</v>
      </c>
      <c r="J42" s="568">
        <f>'2ndIA Resource Clearing Results'!J41</f>
        <v>-116.9</v>
      </c>
      <c r="K42" s="568">
        <f>'2ndIA Resource Clearing Results'!K41</f>
        <v>0</v>
      </c>
      <c r="L42" s="568">
        <f>'2ndIA Resource Clearing Results'!L41</f>
        <v>52.6</v>
      </c>
      <c r="M42" s="568">
        <f t="shared" si="2"/>
        <v>-64.30000000000001</v>
      </c>
      <c r="N42" s="331" t="s">
        <v>10</v>
      </c>
    </row>
    <row r="43" spans="1:14" ht="12.75">
      <c r="A43" s="331" t="s">
        <v>142</v>
      </c>
      <c r="B43" s="338">
        <v>0</v>
      </c>
      <c r="C43" s="338">
        <v>0</v>
      </c>
      <c r="D43" s="340" t="s">
        <v>147</v>
      </c>
      <c r="E43" s="338">
        <v>0</v>
      </c>
      <c r="F43" s="339">
        <v>0</v>
      </c>
      <c r="G43" s="339">
        <v>0</v>
      </c>
      <c r="H43" s="339">
        <v>0</v>
      </c>
      <c r="I43" s="339">
        <v>0</v>
      </c>
      <c r="J43" s="568">
        <v>0</v>
      </c>
      <c r="K43" s="568">
        <v>0</v>
      </c>
      <c r="L43" s="568">
        <v>0</v>
      </c>
      <c r="M43" s="568">
        <v>0</v>
      </c>
      <c r="N43" s="331" t="s">
        <v>142</v>
      </c>
    </row>
    <row r="44" spans="1:14" ht="12.75">
      <c r="A44" s="331" t="s">
        <v>143</v>
      </c>
      <c r="B44" s="338">
        <v>0</v>
      </c>
      <c r="C44" s="338">
        <v>0</v>
      </c>
      <c r="D44" s="340" t="s">
        <v>147</v>
      </c>
      <c r="E44" s="338">
        <v>0</v>
      </c>
      <c r="F44" s="339">
        <v>0</v>
      </c>
      <c r="G44" s="339">
        <v>0</v>
      </c>
      <c r="H44" s="339">
        <v>0</v>
      </c>
      <c r="I44" s="339">
        <v>0</v>
      </c>
      <c r="J44" s="568">
        <v>0</v>
      </c>
      <c r="K44" s="568">
        <v>0</v>
      </c>
      <c r="L44" s="568">
        <v>0</v>
      </c>
      <c r="M44" s="568">
        <v>0</v>
      </c>
      <c r="N44" s="331" t="s">
        <v>143</v>
      </c>
    </row>
    <row r="45" spans="1:14" ht="12.75">
      <c r="A45" s="331" t="s">
        <v>144</v>
      </c>
      <c r="B45" s="338">
        <v>0</v>
      </c>
      <c r="C45" s="338">
        <v>0</v>
      </c>
      <c r="D45" s="340" t="s">
        <v>147</v>
      </c>
      <c r="E45" s="338">
        <v>0</v>
      </c>
      <c r="F45" s="339">
        <v>0</v>
      </c>
      <c r="G45" s="339">
        <v>0</v>
      </c>
      <c r="H45" s="339">
        <v>0</v>
      </c>
      <c r="I45" s="339">
        <v>0</v>
      </c>
      <c r="J45" s="568">
        <v>0</v>
      </c>
      <c r="K45" s="568">
        <v>0</v>
      </c>
      <c r="L45" s="568">
        <v>0</v>
      </c>
      <c r="M45" s="568">
        <v>0</v>
      </c>
      <c r="N45" s="331" t="s">
        <v>144</v>
      </c>
    </row>
    <row r="46" spans="1:14" ht="12.75">
      <c r="A46" s="331" t="s">
        <v>145</v>
      </c>
      <c r="B46" s="338">
        <v>0</v>
      </c>
      <c r="C46" s="338">
        <v>0</v>
      </c>
      <c r="D46" s="340" t="s">
        <v>147</v>
      </c>
      <c r="E46" s="338">
        <v>0</v>
      </c>
      <c r="F46" s="339">
        <v>0</v>
      </c>
      <c r="G46" s="339">
        <v>0</v>
      </c>
      <c r="H46" s="339">
        <v>0</v>
      </c>
      <c r="I46" s="339">
        <v>0</v>
      </c>
      <c r="J46" s="568">
        <v>0</v>
      </c>
      <c r="K46" s="568">
        <v>0</v>
      </c>
      <c r="L46" s="568">
        <v>0</v>
      </c>
      <c r="M46" s="568">
        <v>0</v>
      </c>
      <c r="N46" s="331" t="s">
        <v>145</v>
      </c>
    </row>
    <row r="47" spans="1:14" ht="12.75">
      <c r="A47" s="331" t="s">
        <v>146</v>
      </c>
      <c r="B47" s="338">
        <v>0</v>
      </c>
      <c r="C47" s="338">
        <v>0</v>
      </c>
      <c r="D47" s="340" t="s">
        <v>147</v>
      </c>
      <c r="E47" s="338">
        <v>0</v>
      </c>
      <c r="F47" s="339">
        <v>0</v>
      </c>
      <c r="G47" s="339">
        <v>0</v>
      </c>
      <c r="H47" s="339">
        <v>0</v>
      </c>
      <c r="I47" s="339">
        <v>0</v>
      </c>
      <c r="J47" s="568">
        <v>0</v>
      </c>
      <c r="K47" s="568">
        <v>0</v>
      </c>
      <c r="L47" s="568">
        <v>0</v>
      </c>
      <c r="M47" s="568">
        <v>0</v>
      </c>
      <c r="N47" s="331" t="s">
        <v>146</v>
      </c>
    </row>
    <row r="48" spans="1:10" ht="12.75">
      <c r="A48" s="27" t="s">
        <v>251</v>
      </c>
      <c r="B48" s="341"/>
      <c r="C48" s="341"/>
      <c r="D48" s="341"/>
      <c r="E48" s="341"/>
      <c r="F48" s="341"/>
      <c r="G48" s="341"/>
      <c r="H48" s="341"/>
      <c r="I48" s="341"/>
      <c r="J48" s="23"/>
    </row>
    <row r="49" spans="1:10" ht="12.75">
      <c r="A49" s="27" t="s">
        <v>252</v>
      </c>
      <c r="B49" s="341"/>
      <c r="C49" s="341"/>
      <c r="D49" s="341"/>
      <c r="E49" s="341"/>
      <c r="F49" s="341"/>
      <c r="G49" s="341"/>
      <c r="H49" s="341"/>
      <c r="I49" s="341"/>
      <c r="J49" s="317"/>
    </row>
    <row r="50" spans="1:10" ht="12.75">
      <c r="A50" s="27"/>
      <c r="B50" s="341"/>
      <c r="C50" s="341"/>
      <c r="D50" s="341"/>
      <c r="E50" s="341"/>
      <c r="F50" s="341"/>
      <c r="G50" s="341"/>
      <c r="H50" s="341"/>
      <c r="I50" s="341"/>
      <c r="J50" s="317"/>
    </row>
    <row r="51" spans="1:10" ht="15.75">
      <c r="A51" s="329" t="s">
        <v>253</v>
      </c>
      <c r="B51" s="342"/>
      <c r="C51" s="342"/>
      <c r="D51" s="342"/>
      <c r="E51" s="342"/>
      <c r="F51" s="334"/>
      <c r="G51" s="334"/>
      <c r="H51" s="334"/>
      <c r="I51" s="342"/>
      <c r="J51" s="317"/>
    </row>
    <row r="52" spans="1:14" ht="12.75">
      <c r="A52" s="606" t="s">
        <v>3</v>
      </c>
      <c r="B52" s="619" t="s">
        <v>121</v>
      </c>
      <c r="C52" s="619"/>
      <c r="D52" s="619"/>
      <c r="E52" s="619"/>
      <c r="F52" s="611" t="s">
        <v>236</v>
      </c>
      <c r="G52" s="611"/>
      <c r="H52" s="611"/>
      <c r="I52" s="611"/>
      <c r="J52" s="607" t="s">
        <v>340</v>
      </c>
      <c r="K52" s="607"/>
      <c r="L52" s="607"/>
      <c r="M52" s="607"/>
      <c r="N52" s="606" t="s">
        <v>3</v>
      </c>
    </row>
    <row r="53" spans="1:14" ht="12.75">
      <c r="A53" s="606"/>
      <c r="B53" s="610" t="s">
        <v>254</v>
      </c>
      <c r="C53" s="610"/>
      <c r="D53" s="610"/>
      <c r="E53" s="610"/>
      <c r="F53" s="611" t="s">
        <v>255</v>
      </c>
      <c r="G53" s="611"/>
      <c r="H53" s="611"/>
      <c r="I53" s="611"/>
      <c r="J53" s="607" t="s">
        <v>255</v>
      </c>
      <c r="K53" s="607"/>
      <c r="L53" s="607"/>
      <c r="M53" s="607"/>
      <c r="N53" s="606"/>
    </row>
    <row r="54" spans="1:14" ht="38.25">
      <c r="A54" s="606"/>
      <c r="B54" s="610"/>
      <c r="C54" s="610"/>
      <c r="D54" s="610"/>
      <c r="E54" s="610"/>
      <c r="F54" s="319" t="s">
        <v>247</v>
      </c>
      <c r="G54" s="319" t="s">
        <v>248</v>
      </c>
      <c r="H54" s="319" t="s">
        <v>249</v>
      </c>
      <c r="I54" s="319" t="s">
        <v>250</v>
      </c>
      <c r="J54" s="562" t="s">
        <v>247</v>
      </c>
      <c r="K54" s="562" t="s">
        <v>248</v>
      </c>
      <c r="L54" s="562" t="s">
        <v>249</v>
      </c>
      <c r="M54" s="562" t="s">
        <v>250</v>
      </c>
      <c r="N54" s="606"/>
    </row>
    <row r="55" spans="1:14" ht="12.75">
      <c r="A55" s="343" t="s">
        <v>6</v>
      </c>
      <c r="B55" s="610"/>
      <c r="C55" s="610"/>
      <c r="D55" s="610"/>
      <c r="E55" s="610"/>
      <c r="F55" s="339">
        <f>'1stIA Resource Clearing Results'!J46</f>
        <v>0</v>
      </c>
      <c r="G55" s="339">
        <f>'1stIA Resource Clearing Results'!K46</f>
        <v>-1696.9</v>
      </c>
      <c r="H55" s="339">
        <f>'1stIA Resource Clearing Results'!L46</f>
        <v>0</v>
      </c>
      <c r="I55" s="339">
        <f>F55+G55+H55</f>
        <v>-1696.9</v>
      </c>
      <c r="J55" s="568">
        <f>'2ndIA Resource Clearing Results'!J46</f>
        <v>265.9</v>
      </c>
      <c r="K55" s="568">
        <f>'2ndIA Resource Clearing Results'!K46</f>
        <v>-987.8</v>
      </c>
      <c r="L55" s="568">
        <f>'2ndIA Resource Clearing Results'!L46</f>
        <v>40.9</v>
      </c>
      <c r="M55" s="568">
        <f>J55+K55+L55</f>
        <v>-681</v>
      </c>
      <c r="N55" s="331" t="s">
        <v>6</v>
      </c>
    </row>
    <row r="56" spans="1:14" ht="12.75">
      <c r="A56" s="343" t="s">
        <v>29</v>
      </c>
      <c r="B56" s="610"/>
      <c r="C56" s="610"/>
      <c r="D56" s="610"/>
      <c r="E56" s="610"/>
      <c r="F56" s="339">
        <f>'1stIA Resource Clearing Results'!J47</f>
        <v>0</v>
      </c>
      <c r="G56" s="339">
        <f>'1stIA Resource Clearing Results'!K47</f>
        <v>-782.5</v>
      </c>
      <c r="H56" s="339">
        <f>'1stIA Resource Clearing Results'!L47</f>
        <v>0</v>
      </c>
      <c r="I56" s="339">
        <f aca="true" t="shared" si="3" ref="I56:I67">F56+G56+H56</f>
        <v>-782.5</v>
      </c>
      <c r="J56" s="568">
        <f>'2ndIA Resource Clearing Results'!J47</f>
        <v>123.3</v>
      </c>
      <c r="K56" s="568">
        <f>'2ndIA Resource Clearing Results'!K47</f>
        <v>-987.8</v>
      </c>
      <c r="L56" s="568">
        <f>'2ndIA Resource Clearing Results'!L47</f>
        <v>30.7</v>
      </c>
      <c r="M56" s="568">
        <f aca="true" t="shared" si="4" ref="M56:M67">J56+K56+L56</f>
        <v>-833.8</v>
      </c>
      <c r="N56" s="331" t="s">
        <v>29</v>
      </c>
    </row>
    <row r="57" spans="1:14" ht="12.75">
      <c r="A57" s="343" t="s">
        <v>35</v>
      </c>
      <c r="B57" s="610"/>
      <c r="C57" s="610"/>
      <c r="D57" s="610"/>
      <c r="E57" s="610"/>
      <c r="F57" s="339">
        <f>'1stIA Resource Clearing Results'!J48</f>
        <v>0</v>
      </c>
      <c r="G57" s="339">
        <f>'1stIA Resource Clearing Results'!K48</f>
        <v>-250.1</v>
      </c>
      <c r="H57" s="339">
        <f>'1stIA Resource Clearing Results'!L48</f>
        <v>0</v>
      </c>
      <c r="I57" s="339">
        <f t="shared" si="3"/>
        <v>-250.1</v>
      </c>
      <c r="J57" s="568">
        <f>'2ndIA Resource Clearing Results'!J48</f>
        <v>91.2</v>
      </c>
      <c r="K57" s="568">
        <f>'2ndIA Resource Clearing Results'!K48</f>
        <v>-501.9</v>
      </c>
      <c r="L57" s="568">
        <f>'2ndIA Resource Clearing Results'!L48</f>
        <v>15.6</v>
      </c>
      <c r="M57" s="568">
        <f t="shared" si="4"/>
        <v>-395.09999999999997</v>
      </c>
      <c r="N57" s="331" t="s">
        <v>35</v>
      </c>
    </row>
    <row r="58" spans="1:14" ht="12.75">
      <c r="A58" s="343" t="s">
        <v>5</v>
      </c>
      <c r="B58" s="610"/>
      <c r="C58" s="610"/>
      <c r="D58" s="610"/>
      <c r="E58" s="610"/>
      <c r="F58" s="339">
        <f>'1stIA Resource Clearing Results'!J49</f>
        <v>0</v>
      </c>
      <c r="G58" s="339">
        <f>'1stIA Resource Clearing Results'!K49</f>
        <v>-303.1</v>
      </c>
      <c r="H58" s="339">
        <f>'1stIA Resource Clearing Results'!L49</f>
        <v>0</v>
      </c>
      <c r="I58" s="339">
        <f t="shared" si="3"/>
        <v>-303.1</v>
      </c>
      <c r="J58" s="568">
        <f>'2ndIA Resource Clearing Results'!J49</f>
        <v>20.7</v>
      </c>
      <c r="K58" s="568">
        <f>'2ndIA Resource Clearing Results'!K49</f>
        <v>-33.9</v>
      </c>
      <c r="L58" s="568">
        <f>'2ndIA Resource Clearing Results'!L49</f>
        <v>10.1</v>
      </c>
      <c r="M58" s="568">
        <f t="shared" si="4"/>
        <v>-3.0999999999999996</v>
      </c>
      <c r="N58" s="331" t="s">
        <v>5</v>
      </c>
    </row>
    <row r="59" spans="1:14" ht="12.75">
      <c r="A59" s="343" t="s">
        <v>8</v>
      </c>
      <c r="B59" s="610"/>
      <c r="C59" s="610"/>
      <c r="D59" s="610"/>
      <c r="E59" s="610"/>
      <c r="F59" s="339">
        <f>'1stIA Resource Clearing Results'!J50</f>
        <v>0</v>
      </c>
      <c r="G59" s="339">
        <f>'1stIA Resource Clearing Results'!K50</f>
        <v>-246.3</v>
      </c>
      <c r="H59" s="339">
        <f>'1stIA Resource Clearing Results'!L50</f>
        <v>0</v>
      </c>
      <c r="I59" s="339">
        <f t="shared" si="3"/>
        <v>-246.3</v>
      </c>
      <c r="J59" s="568">
        <f>'2ndIA Resource Clearing Results'!J50</f>
        <v>31.9</v>
      </c>
      <c r="K59" s="568">
        <f>'2ndIA Resource Clearing Results'!K50</f>
        <v>-176.8</v>
      </c>
      <c r="L59" s="568">
        <f>'2ndIA Resource Clearing Results'!L50</f>
        <v>4.8</v>
      </c>
      <c r="M59" s="568">
        <f t="shared" si="4"/>
        <v>-140.1</v>
      </c>
      <c r="N59" s="331" t="s">
        <v>8</v>
      </c>
    </row>
    <row r="60" spans="1:14" ht="12.75">
      <c r="A60" s="343" t="s">
        <v>36</v>
      </c>
      <c r="B60" s="610"/>
      <c r="C60" s="610"/>
      <c r="D60" s="610"/>
      <c r="E60" s="610"/>
      <c r="F60" s="339">
        <f>'1stIA Resource Clearing Results'!J51</f>
        <v>0</v>
      </c>
      <c r="G60" s="339">
        <f>'1stIA Resource Clearing Results'!K51</f>
        <v>-227.3</v>
      </c>
      <c r="H60" s="339">
        <f>'1stIA Resource Clearing Results'!L51</f>
        <v>0</v>
      </c>
      <c r="I60" s="339">
        <f t="shared" si="3"/>
        <v>-227.3</v>
      </c>
      <c r="J60" s="568">
        <f>'2ndIA Resource Clearing Results'!J51</f>
        <v>18.6</v>
      </c>
      <c r="K60" s="568">
        <f>'2ndIA Resource Clearing Results'!K51</f>
        <v>-166.8</v>
      </c>
      <c r="L60" s="568">
        <f>'2ndIA Resource Clearing Results'!L51</f>
        <v>1.9</v>
      </c>
      <c r="M60" s="568">
        <f t="shared" si="4"/>
        <v>-146.3</v>
      </c>
      <c r="N60" s="331" t="s">
        <v>36</v>
      </c>
    </row>
    <row r="61" spans="1:14" ht="12.75">
      <c r="A61" s="343" t="s">
        <v>37</v>
      </c>
      <c r="B61" s="610"/>
      <c r="C61" s="610"/>
      <c r="D61" s="610"/>
      <c r="E61" s="610"/>
      <c r="F61" s="339">
        <f>'1stIA Resource Clearing Results'!J52</f>
        <v>0</v>
      </c>
      <c r="G61" s="339">
        <f>'1stIA Resource Clearing Results'!K52</f>
        <v>0</v>
      </c>
      <c r="H61" s="339">
        <f>'1stIA Resource Clearing Results'!L52</f>
        <v>0</v>
      </c>
      <c r="I61" s="339">
        <f t="shared" si="3"/>
        <v>0</v>
      </c>
      <c r="J61" s="568">
        <f>'2ndIA Resource Clearing Results'!J52</f>
        <v>2.2</v>
      </c>
      <c r="K61" s="568">
        <f>'2ndIA Resource Clearing Results'!K52</f>
        <v>-61.8</v>
      </c>
      <c r="L61" s="568">
        <f>'2ndIA Resource Clearing Results'!L52</f>
        <v>0</v>
      </c>
      <c r="M61" s="568">
        <f t="shared" si="4"/>
        <v>-59.599999999999994</v>
      </c>
      <c r="N61" s="331" t="s">
        <v>37</v>
      </c>
    </row>
    <row r="62" spans="1:14" ht="12.75">
      <c r="A62" s="343" t="s">
        <v>15</v>
      </c>
      <c r="B62" s="610"/>
      <c r="C62" s="610"/>
      <c r="D62" s="610"/>
      <c r="E62" s="610"/>
      <c r="F62" s="339">
        <f>'1stIA Resource Clearing Results'!J53</f>
        <v>0</v>
      </c>
      <c r="G62" s="339">
        <f>'1stIA Resource Clearing Results'!K53</f>
        <v>0</v>
      </c>
      <c r="H62" s="339">
        <f>'1stIA Resource Clearing Results'!L53</f>
        <v>0</v>
      </c>
      <c r="I62" s="339">
        <f t="shared" si="3"/>
        <v>0</v>
      </c>
      <c r="J62" s="568">
        <f>'2ndIA Resource Clearing Results'!J53</f>
        <v>15.6</v>
      </c>
      <c r="K62" s="568">
        <f>'2ndIA Resource Clearing Results'!K53</f>
        <v>0</v>
      </c>
      <c r="L62" s="568">
        <f>'2ndIA Resource Clearing Results'!L53</f>
        <v>8.9</v>
      </c>
      <c r="M62" s="568">
        <f t="shared" si="4"/>
        <v>24.5</v>
      </c>
      <c r="N62" s="331" t="s">
        <v>15</v>
      </c>
    </row>
    <row r="63" spans="1:14" ht="12.75">
      <c r="A63" s="343" t="s">
        <v>45</v>
      </c>
      <c r="B63" s="610"/>
      <c r="C63" s="610"/>
      <c r="D63" s="610"/>
      <c r="E63" s="610"/>
      <c r="F63" s="339">
        <f>'1stIA Resource Clearing Results'!J54</f>
        <v>0</v>
      </c>
      <c r="G63" s="339">
        <f>'1stIA Resource Clearing Results'!K54</f>
        <v>0</v>
      </c>
      <c r="H63" s="339">
        <f>'1stIA Resource Clearing Results'!L54</f>
        <v>0</v>
      </c>
      <c r="I63" s="339">
        <f t="shared" si="3"/>
        <v>0</v>
      </c>
      <c r="J63" s="568">
        <f>'2ndIA Resource Clearing Results'!J54</f>
        <v>41.7</v>
      </c>
      <c r="K63" s="568">
        <f>'2ndIA Resource Clearing Results'!K54</f>
        <v>0</v>
      </c>
      <c r="L63" s="568">
        <f>'2ndIA Resource Clearing Results'!L54</f>
        <v>3</v>
      </c>
      <c r="M63" s="568">
        <f t="shared" si="4"/>
        <v>44.7</v>
      </c>
      <c r="N63" s="331" t="s">
        <v>45</v>
      </c>
    </row>
    <row r="64" spans="1:14" ht="12.75">
      <c r="A64" s="331" t="s">
        <v>127</v>
      </c>
      <c r="B64" s="610"/>
      <c r="C64" s="610"/>
      <c r="D64" s="610"/>
      <c r="E64" s="610"/>
      <c r="F64" s="339">
        <f>'1stIA Resource Clearing Results'!J55</f>
        <v>0</v>
      </c>
      <c r="G64" s="339">
        <f>'1stIA Resource Clearing Results'!K55</f>
        <v>0</v>
      </c>
      <c r="H64" s="339">
        <f>'1stIA Resource Clearing Results'!L55</f>
        <v>0</v>
      </c>
      <c r="I64" s="339">
        <f t="shared" si="3"/>
        <v>0</v>
      </c>
      <c r="J64" s="568">
        <f>'2ndIA Resource Clearing Results'!J55</f>
        <v>14.5</v>
      </c>
      <c r="K64" s="568">
        <f>'2ndIA Resource Clearing Results'!K55</f>
        <v>0</v>
      </c>
      <c r="L64" s="568">
        <f>'2ndIA Resource Clearing Results'!L55</f>
        <v>0.1</v>
      </c>
      <c r="M64" s="568">
        <f t="shared" si="4"/>
        <v>14.6</v>
      </c>
      <c r="N64" s="331" t="s">
        <v>127</v>
      </c>
    </row>
    <row r="65" spans="1:14" ht="12.75">
      <c r="A65" s="331" t="s">
        <v>20</v>
      </c>
      <c r="B65" s="610"/>
      <c r="C65" s="610"/>
      <c r="D65" s="610"/>
      <c r="E65" s="610"/>
      <c r="F65" s="339">
        <f>'1stIA Resource Clearing Results'!J56</f>
        <v>0</v>
      </c>
      <c r="G65" s="339">
        <f>'1stIA Resource Clearing Results'!K56</f>
        <v>0</v>
      </c>
      <c r="H65" s="339">
        <f>'1stIA Resource Clearing Results'!L56</f>
        <v>0</v>
      </c>
      <c r="I65" s="339">
        <f t="shared" si="3"/>
        <v>0</v>
      </c>
      <c r="J65" s="568">
        <f>'2ndIA Resource Clearing Results'!J56</f>
        <v>18.6</v>
      </c>
      <c r="K65" s="568">
        <f>'2ndIA Resource Clearing Results'!K56</f>
        <v>0</v>
      </c>
      <c r="L65" s="568">
        <f>'2ndIA Resource Clearing Results'!L56</f>
        <v>0.3</v>
      </c>
      <c r="M65" s="568">
        <f t="shared" si="4"/>
        <v>18.900000000000002</v>
      </c>
      <c r="N65" s="331" t="s">
        <v>20</v>
      </c>
    </row>
    <row r="66" spans="1:14" ht="12.75">
      <c r="A66" s="331" t="s">
        <v>11</v>
      </c>
      <c r="B66" s="610"/>
      <c r="C66" s="610"/>
      <c r="D66" s="610"/>
      <c r="E66" s="610"/>
      <c r="F66" s="339">
        <f>'1stIA Resource Clearing Results'!J57</f>
        <v>0</v>
      </c>
      <c r="G66" s="339">
        <f>'1stIA Resource Clearing Results'!K57</f>
        <v>-243.1</v>
      </c>
      <c r="H66" s="339">
        <f>'1stIA Resource Clearing Results'!L57</f>
        <v>0</v>
      </c>
      <c r="I66" s="339">
        <f t="shared" si="3"/>
        <v>-243.1</v>
      </c>
      <c r="J66" s="568">
        <f>'2ndIA Resource Clearing Results'!J57</f>
        <v>5.1</v>
      </c>
      <c r="K66" s="568">
        <f>'2ndIA Resource Clearing Results'!K57</f>
        <v>-33.9</v>
      </c>
      <c r="L66" s="568">
        <f>'2ndIA Resource Clearing Results'!L57</f>
        <v>1.2</v>
      </c>
      <c r="M66" s="568">
        <f t="shared" si="4"/>
        <v>-27.599999999999998</v>
      </c>
      <c r="N66" s="331" t="s">
        <v>11</v>
      </c>
    </row>
    <row r="67" spans="1:14" ht="12.75">
      <c r="A67" s="331" t="s">
        <v>10</v>
      </c>
      <c r="B67" s="610"/>
      <c r="C67" s="610"/>
      <c r="D67" s="610"/>
      <c r="E67" s="610"/>
      <c r="F67" s="339">
        <f>'1stIA Resource Clearing Results'!J58</f>
        <v>0</v>
      </c>
      <c r="G67" s="339">
        <f>'1stIA Resource Clearing Results'!K58</f>
        <v>-117.3</v>
      </c>
      <c r="H67" s="339">
        <f>'1stIA Resource Clearing Results'!L58</f>
        <v>0</v>
      </c>
      <c r="I67" s="339">
        <f t="shared" si="3"/>
        <v>-117.3</v>
      </c>
      <c r="J67" s="568">
        <f>'2ndIA Resource Clearing Results'!J58</f>
        <v>7.2</v>
      </c>
      <c r="K67" s="568">
        <f>'2ndIA Resource Clearing Results'!K58</f>
        <v>0</v>
      </c>
      <c r="L67" s="568">
        <f>'2ndIA Resource Clearing Results'!L58</f>
        <v>2.1</v>
      </c>
      <c r="M67" s="568">
        <f t="shared" si="4"/>
        <v>9.3</v>
      </c>
      <c r="N67" s="331" t="s">
        <v>10</v>
      </c>
    </row>
    <row r="68" spans="1:10" ht="12.75">
      <c r="A68" s="27" t="s">
        <v>256</v>
      </c>
      <c r="B68" s="341"/>
      <c r="C68" s="341"/>
      <c r="D68" s="341"/>
      <c r="E68" s="341"/>
      <c r="F68" s="341"/>
      <c r="G68" s="341"/>
      <c r="H68" s="341"/>
      <c r="I68" s="341"/>
      <c r="J68" s="317"/>
    </row>
    <row r="69" spans="1:10" ht="12.75">
      <c r="A69" s="27" t="s">
        <v>257</v>
      </c>
      <c r="B69" s="341"/>
      <c r="C69" s="341"/>
      <c r="D69" s="341"/>
      <c r="E69" s="341"/>
      <c r="F69" s="341"/>
      <c r="G69" s="341"/>
      <c r="H69" s="341"/>
      <c r="I69" s="341"/>
      <c r="J69" s="317"/>
    </row>
    <row r="70" spans="1:10" ht="15.75">
      <c r="A70" s="329"/>
      <c r="B70" s="317"/>
      <c r="C70" s="317"/>
      <c r="D70" s="317"/>
      <c r="E70" s="317"/>
      <c r="F70" s="317"/>
      <c r="G70" s="317"/>
      <c r="H70" s="317"/>
      <c r="I70" s="317"/>
      <c r="J70" s="317"/>
    </row>
    <row r="71" spans="1:10" ht="15.75">
      <c r="A71" s="329" t="s">
        <v>122</v>
      </c>
      <c r="B71" s="317"/>
      <c r="C71" s="317"/>
      <c r="D71" s="317"/>
      <c r="E71" s="317"/>
      <c r="F71" s="317"/>
      <c r="G71" s="317"/>
      <c r="H71" s="317"/>
      <c r="I71" s="317"/>
      <c r="J71" s="317"/>
    </row>
    <row r="72" spans="1:14" ht="12.75">
      <c r="A72" s="596" t="s">
        <v>7</v>
      </c>
      <c r="B72" s="614" t="s">
        <v>121</v>
      </c>
      <c r="C72" s="614"/>
      <c r="D72" s="614"/>
      <c r="E72" s="614"/>
      <c r="F72" s="613" t="s">
        <v>236</v>
      </c>
      <c r="G72" s="613"/>
      <c r="H72" s="613"/>
      <c r="I72" s="613"/>
      <c r="J72" s="608" t="s">
        <v>340</v>
      </c>
      <c r="K72" s="608"/>
      <c r="L72" s="608"/>
      <c r="M72" s="608"/>
      <c r="N72" s="596" t="s">
        <v>7</v>
      </c>
    </row>
    <row r="73" spans="1:14" ht="51">
      <c r="A73" s="596"/>
      <c r="B73" s="318" t="s">
        <v>258</v>
      </c>
      <c r="C73" s="318" t="s">
        <v>125</v>
      </c>
      <c r="D73" s="318" t="s">
        <v>123</v>
      </c>
      <c r="E73" s="318" t="s">
        <v>324</v>
      </c>
      <c r="F73" s="319" t="s">
        <v>239</v>
      </c>
      <c r="G73" s="319" t="s">
        <v>240</v>
      </c>
      <c r="H73" s="319" t="s">
        <v>241</v>
      </c>
      <c r="I73" s="344" t="s">
        <v>242</v>
      </c>
      <c r="J73" s="562" t="s">
        <v>239</v>
      </c>
      <c r="K73" s="562" t="s">
        <v>240</v>
      </c>
      <c r="L73" s="562" t="s">
        <v>241</v>
      </c>
      <c r="M73" s="569" t="s">
        <v>242</v>
      </c>
      <c r="N73" s="596"/>
    </row>
    <row r="74" spans="1:14" ht="12.75">
      <c r="A74" s="320" t="s">
        <v>16</v>
      </c>
      <c r="B74" s="321">
        <f>'BRA Load Pricing Results'!J38</f>
        <v>2833.372633551985</v>
      </c>
      <c r="C74" s="322">
        <f>'BRA Load Pricing Results'!K38</f>
        <v>116.54254657486675</v>
      </c>
      <c r="D74" s="345">
        <f>'BRA CTRs'!AA21</f>
        <v>2.333862956633178</v>
      </c>
      <c r="E74" s="346">
        <f aca="true" t="shared" si="5" ref="E74:E93">C74-D74</f>
        <v>114.20868361823356</v>
      </c>
      <c r="F74" s="323">
        <f>'1st IA Load Pricing Results'!J40</f>
        <v>2785.9917467098753</v>
      </c>
      <c r="G74" s="324">
        <f>'1st IA Load Pricing Results'!K40</f>
        <v>117.48326800079238</v>
      </c>
      <c r="H74" s="347">
        <f>'1st IA CTRs'!AA21</f>
        <v>2.3374215368756546</v>
      </c>
      <c r="I74" s="348">
        <f>G74-H74</f>
        <v>115.14584646391673</v>
      </c>
      <c r="J74" s="563">
        <f>'2nd IA Load Pricing Results'!J40</f>
        <v>2768.6788964855205</v>
      </c>
      <c r="K74" s="564">
        <f>'2nd IA Load Pricing Results'!K40</f>
        <v>117.74769322895426</v>
      </c>
      <c r="L74" s="570">
        <f>'2nd IA CTRs'!AA21</f>
        <v>2.0702385750344074</v>
      </c>
      <c r="M74" s="571">
        <f>K74-L74</f>
        <v>115.67745465391985</v>
      </c>
      <c r="N74" s="320" t="s">
        <v>16</v>
      </c>
    </row>
    <row r="75" spans="1:14" ht="12.75">
      <c r="A75" s="320" t="s">
        <v>135</v>
      </c>
      <c r="B75" s="321">
        <f>'BRA Load Pricing Results'!J39</f>
        <v>12693.441151834171</v>
      </c>
      <c r="C75" s="322">
        <f>'BRA Load Pricing Results'!K39</f>
        <v>96.77254657486675</v>
      </c>
      <c r="D75" s="345">
        <f>'BRA CTRs'!AA22</f>
        <v>0</v>
      </c>
      <c r="E75" s="346">
        <f t="shared" si="5"/>
        <v>96.77254657486675</v>
      </c>
      <c r="F75" s="323">
        <f>'1st IA Load Pricing Results'!J41</f>
        <v>12516.47783276748</v>
      </c>
      <c r="G75" s="324">
        <f>'1st IA Load Pricing Results'!K41</f>
        <v>97.61042274272533</v>
      </c>
      <c r="H75" s="347">
        <f>'1st IA CTRs'!AA22</f>
        <v>0</v>
      </c>
      <c r="I75" s="348">
        <f>G75-H75</f>
        <v>97.61042274272533</v>
      </c>
      <c r="J75" s="563">
        <f>'2nd IA Load Pricing Results'!J41</f>
        <v>12472.50991321504</v>
      </c>
      <c r="K75" s="564">
        <f>'2nd IA Load Pricing Results'!K41</f>
        <v>98.00898673360496</v>
      </c>
      <c r="L75" s="570">
        <f>'2nd IA CTRs'!AA22</f>
        <v>0</v>
      </c>
      <c r="M75" s="571">
        <f>K75-L75</f>
        <v>98.00898673360496</v>
      </c>
      <c r="N75" s="320" t="s">
        <v>135</v>
      </c>
    </row>
    <row r="76" spans="1:14" ht="12.75">
      <c r="A76" s="320" t="s">
        <v>19</v>
      </c>
      <c r="B76" s="321">
        <f>'BRA Load Pricing Results'!J40</f>
        <v>10303.278562335663</v>
      </c>
      <c r="C76" s="322">
        <f>'BRA Load Pricing Results'!K40</f>
        <v>96.77254657486675</v>
      </c>
      <c r="D76" s="345">
        <f>'BRA CTRs'!AA23</f>
        <v>0</v>
      </c>
      <c r="E76" s="346">
        <f t="shared" si="5"/>
        <v>96.77254657486675</v>
      </c>
      <c r="F76" s="323">
        <f>'1st IA Load Pricing Results'!J42</f>
        <v>10025.136967955596</v>
      </c>
      <c r="G76" s="324">
        <f>'1st IA Load Pricing Results'!K42</f>
        <v>97.61042274272533</v>
      </c>
      <c r="H76" s="347">
        <f>'1st IA CTRs'!AA23</f>
        <v>0</v>
      </c>
      <c r="I76" s="348">
        <f>G76-H76</f>
        <v>97.61042274272533</v>
      </c>
      <c r="J76" s="563">
        <f>'2nd IA Load Pricing Results'!J42</f>
        <v>10084.055013048497</v>
      </c>
      <c r="K76" s="564">
        <f>'2nd IA Load Pricing Results'!K42</f>
        <v>98.00898673360496</v>
      </c>
      <c r="L76" s="570">
        <f>'2nd IA CTRs'!AA23</f>
        <v>0</v>
      </c>
      <c r="M76" s="571">
        <f>K76-L76</f>
        <v>98.00898673360496</v>
      </c>
      <c r="N76" s="320" t="s">
        <v>19</v>
      </c>
    </row>
    <row r="77" spans="1:14" ht="12.75">
      <c r="A77" s="320" t="s">
        <v>45</v>
      </c>
      <c r="B77" s="321">
        <f>'BRA Load Pricing Results'!J41</f>
        <v>14621.129864018563</v>
      </c>
      <c r="C77" s="322">
        <f>'BRA Load Pricing Results'!K41</f>
        <v>96.77254657486675</v>
      </c>
      <c r="D77" s="345">
        <f>'BRA CTRs'!AA24</f>
        <v>0</v>
      </c>
      <c r="E77" s="346">
        <f t="shared" si="5"/>
        <v>96.77254657486675</v>
      </c>
      <c r="F77" s="323">
        <f>'1st IA Load Pricing Results'!J43</f>
        <v>14668.456545805388</v>
      </c>
      <c r="G77" s="324">
        <f>'1st IA Load Pricing Results'!K43</f>
        <v>97.61042274272533</v>
      </c>
      <c r="H77" s="347">
        <f>'1st IA CTRs'!AA24</f>
        <v>0</v>
      </c>
      <c r="I77" s="348">
        <f aca="true" t="shared" si="6" ref="I77:I93">G77-H77</f>
        <v>97.61042274272533</v>
      </c>
      <c r="J77" s="563">
        <f>'2nd IA Load Pricing Results'!J43</f>
        <v>14655.430610386642</v>
      </c>
      <c r="K77" s="564">
        <f>'2nd IA Load Pricing Results'!K43</f>
        <v>98.00898673360496</v>
      </c>
      <c r="L77" s="570">
        <f>'2nd IA CTRs'!AA24</f>
        <v>0</v>
      </c>
      <c r="M77" s="571">
        <f aca="true" t="shared" si="7" ref="M77:M93">K77-L77</f>
        <v>98.00898673360496</v>
      </c>
      <c r="N77" s="320" t="s">
        <v>45</v>
      </c>
    </row>
    <row r="78" spans="1:14" ht="12.75">
      <c r="A78" s="320" t="s">
        <v>11</v>
      </c>
      <c r="B78" s="321">
        <f>'BRA Load Pricing Results'!J42</f>
        <v>7831.465136009944</v>
      </c>
      <c r="C78" s="322">
        <f>'BRA Load Pricing Results'!K42</f>
        <v>97.07254657486675</v>
      </c>
      <c r="D78" s="345">
        <f>'BRA CTRs'!AA25</f>
        <v>0.18081923576364947</v>
      </c>
      <c r="E78" s="346">
        <f t="shared" si="5"/>
        <v>96.8917273391031</v>
      </c>
      <c r="F78" s="323">
        <f>'1st IA Load Pricing Results'!J44</f>
        <v>7676.643925188852</v>
      </c>
      <c r="G78" s="324">
        <f>'1st IA Load Pricing Results'!K44</f>
        <v>97.92587585752977</v>
      </c>
      <c r="H78" s="347">
        <f>'1st IA CTRs'!AA25</f>
        <v>0.193120500197761</v>
      </c>
      <c r="I78" s="348">
        <f t="shared" si="6"/>
        <v>97.73275535733201</v>
      </c>
      <c r="J78" s="563">
        <f>'2nd IA Load Pricing Results'!J44</f>
        <v>7609.16632204743</v>
      </c>
      <c r="K78" s="564">
        <f>'2nd IA Load Pricing Results'!K44</f>
        <v>97.11831312699445</v>
      </c>
      <c r="L78" s="570">
        <f>'2nd IA CTRs'!AA25</f>
        <v>-0.6016938541731343</v>
      </c>
      <c r="M78" s="571">
        <f t="shared" si="7"/>
        <v>97.72000698116759</v>
      </c>
      <c r="N78" s="320" t="s">
        <v>11</v>
      </c>
    </row>
    <row r="79" spans="1:14" ht="12.75">
      <c r="A79" s="320" t="s">
        <v>20</v>
      </c>
      <c r="B79" s="321">
        <f>'BRA Load Pricing Results'!J43</f>
        <v>25326.527160032154</v>
      </c>
      <c r="C79" s="322">
        <f>'BRA Load Pricing Results'!K43</f>
        <v>199.54254657486675</v>
      </c>
      <c r="D79" s="345">
        <f>'BRA CTRs'!AA26</f>
        <v>9.55663667217914</v>
      </c>
      <c r="E79" s="346">
        <f t="shared" si="5"/>
        <v>189.9859099026876</v>
      </c>
      <c r="F79" s="323">
        <f>'1st IA Load Pricing Results'!J45</f>
        <v>25311.925015333945</v>
      </c>
      <c r="G79" s="324">
        <f>'1st IA Load Pricing Results'!K45</f>
        <v>198.51229257906976</v>
      </c>
      <c r="H79" s="347">
        <f>'1st IA CTRs'!AA26</f>
        <v>7.6347328418311085</v>
      </c>
      <c r="I79" s="348">
        <f t="shared" si="6"/>
        <v>190.87755973723867</v>
      </c>
      <c r="J79" s="563">
        <f>'2nd IA Load Pricing Results'!J45</f>
        <v>25196.623183168955</v>
      </c>
      <c r="K79" s="564">
        <f>'2nd IA Load Pricing Results'!K45</f>
        <v>198.88024601628555</v>
      </c>
      <c r="L79" s="570">
        <f>'2nd IA CTRs'!AA26</f>
        <v>7.177324153430145</v>
      </c>
      <c r="M79" s="571">
        <f t="shared" si="7"/>
        <v>191.70292186285542</v>
      </c>
      <c r="N79" s="320" t="s">
        <v>259</v>
      </c>
    </row>
    <row r="80" spans="1:14" ht="12.75">
      <c r="A80" s="320" t="s">
        <v>21</v>
      </c>
      <c r="B80" s="321">
        <f>'BRA Load Pricing Results'!J44</f>
        <v>3875.1730415533075</v>
      </c>
      <c r="C80" s="322">
        <f>'BRA Load Pricing Results'!K44</f>
        <v>96.77254657486675</v>
      </c>
      <c r="D80" s="345">
        <f>'BRA CTRs'!AA27</f>
        <v>0</v>
      </c>
      <c r="E80" s="346">
        <f t="shared" si="5"/>
        <v>96.77254657486675</v>
      </c>
      <c r="F80" s="323">
        <f>'1st IA Load Pricing Results'!J46</f>
        <v>3882.6551645939976</v>
      </c>
      <c r="G80" s="324">
        <f>'1st IA Load Pricing Results'!K46</f>
        <v>97.61042274272533</v>
      </c>
      <c r="H80" s="347">
        <f>'1st IA CTRs'!AA27</f>
        <v>0</v>
      </c>
      <c r="I80" s="348">
        <f t="shared" si="6"/>
        <v>97.61042274272533</v>
      </c>
      <c r="J80" s="563">
        <f>'2nd IA Load Pricing Results'!J46</f>
        <v>3862.753621709638</v>
      </c>
      <c r="K80" s="564">
        <f>'2nd IA Load Pricing Results'!K46</f>
        <v>98.00898673360496</v>
      </c>
      <c r="L80" s="570">
        <f>'2nd IA CTRs'!AA27</f>
        <v>0</v>
      </c>
      <c r="M80" s="571">
        <f t="shared" si="7"/>
        <v>98.00898673360496</v>
      </c>
      <c r="N80" s="320" t="s">
        <v>21</v>
      </c>
    </row>
    <row r="81" spans="1:14" ht="12.75">
      <c r="A81" s="320" t="s">
        <v>136</v>
      </c>
      <c r="B81" s="321">
        <f>'BRA Load Pricing Results'!J45</f>
        <v>5244.322726476427</v>
      </c>
      <c r="C81" s="322">
        <f>'BRA Load Pricing Results'!K45</f>
        <v>96.77254657486675</v>
      </c>
      <c r="D81" s="345">
        <f>'BRA CTRs'!AA28</f>
        <v>0</v>
      </c>
      <c r="E81" s="346">
        <f t="shared" si="5"/>
        <v>96.77254657486675</v>
      </c>
      <c r="F81" s="323">
        <f>'1st IA Load Pricing Results'!J47</f>
        <v>5226.667265396978</v>
      </c>
      <c r="G81" s="324">
        <f>'1st IA Load Pricing Results'!K47</f>
        <v>97.61042274272533</v>
      </c>
      <c r="H81" s="347">
        <f>'1st IA CTRs'!AA28</f>
        <v>0</v>
      </c>
      <c r="I81" s="348">
        <f t="shared" si="6"/>
        <v>97.61042274272533</v>
      </c>
      <c r="J81" s="563">
        <f>'2nd IA Load Pricing Results'!J47</f>
        <v>5228.516732993431</v>
      </c>
      <c r="K81" s="564">
        <f>'2nd IA Load Pricing Results'!K47</f>
        <v>98.00898673360496</v>
      </c>
      <c r="L81" s="570">
        <f>'2nd IA CTRs'!AA28</f>
        <v>0</v>
      </c>
      <c r="M81" s="571">
        <f t="shared" si="7"/>
        <v>98.00898673360496</v>
      </c>
      <c r="N81" s="320" t="s">
        <v>136</v>
      </c>
    </row>
    <row r="82" spans="1:14" ht="12.75">
      <c r="A82" s="320" t="s">
        <v>44</v>
      </c>
      <c r="B82" s="321">
        <f>'BRA Load Pricing Results'!J46</f>
        <v>3276.05089368158</v>
      </c>
      <c r="C82" s="322">
        <f>'BRA Load Pricing Results'!K46</f>
        <v>96.77254657486675</v>
      </c>
      <c r="D82" s="345">
        <f>'BRA CTRs'!AA29</f>
        <v>0</v>
      </c>
      <c r="E82" s="346">
        <f t="shared" si="5"/>
        <v>96.77254657486675</v>
      </c>
      <c r="F82" s="323">
        <f>'1st IA Load Pricing Results'!J48</f>
        <v>3243.3237252317645</v>
      </c>
      <c r="G82" s="324">
        <f>'1st IA Load Pricing Results'!K48</f>
        <v>97.61042274272533</v>
      </c>
      <c r="H82" s="347">
        <f>'1st IA CTRs'!AA29</f>
        <v>0</v>
      </c>
      <c r="I82" s="348">
        <f t="shared" si="6"/>
        <v>97.61042274272533</v>
      </c>
      <c r="J82" s="563">
        <f>'2nd IA Load Pricing Results'!J48</f>
        <v>3238.7432252606513</v>
      </c>
      <c r="K82" s="564">
        <f>'2nd IA Load Pricing Results'!K48</f>
        <v>98.00898673360496</v>
      </c>
      <c r="L82" s="570">
        <f>'2nd IA CTRs'!AA29</f>
        <v>0</v>
      </c>
      <c r="M82" s="571">
        <f t="shared" si="7"/>
        <v>98.00898673360496</v>
      </c>
      <c r="N82" s="320" t="s">
        <v>44</v>
      </c>
    </row>
    <row r="83" spans="1:14" ht="12.75">
      <c r="A83" s="320" t="s">
        <v>31</v>
      </c>
      <c r="B83" s="321">
        <f>'BRA Load Pricing Results'!J47</f>
        <v>23297.391993836034</v>
      </c>
      <c r="C83" s="322">
        <f>'BRA Load Pricing Results'!K47</f>
        <v>96.77254657486675</v>
      </c>
      <c r="D83" s="345">
        <f>'BRA CTRs'!AA30</f>
        <v>0</v>
      </c>
      <c r="E83" s="346">
        <f t="shared" si="5"/>
        <v>96.77254657486675</v>
      </c>
      <c r="F83" s="323">
        <f>'1st IA Load Pricing Results'!J49</f>
        <v>22711.432719095963</v>
      </c>
      <c r="G83" s="324">
        <f>'1st IA Load Pricing Results'!K49</f>
        <v>97.61042274272533</v>
      </c>
      <c r="H83" s="347">
        <f>'1st IA CTRs'!AA30</f>
        <v>0</v>
      </c>
      <c r="I83" s="348">
        <f t="shared" si="6"/>
        <v>97.61042274272533</v>
      </c>
      <c r="J83" s="563">
        <f>'2nd IA Load Pricing Results'!J49</f>
        <v>22459.673628875753</v>
      </c>
      <c r="K83" s="564">
        <f>'2nd IA Load Pricing Results'!K49</f>
        <v>98.00898673360496</v>
      </c>
      <c r="L83" s="570">
        <f>'2nd IA CTRs'!AA30</f>
        <v>0</v>
      </c>
      <c r="M83" s="571">
        <f t="shared" si="7"/>
        <v>98.00898673360496</v>
      </c>
      <c r="N83" s="320" t="s">
        <v>31</v>
      </c>
    </row>
    <row r="84" spans="1:14" ht="12.75">
      <c r="A84" s="320" t="s">
        <v>17</v>
      </c>
      <c r="B84" s="321">
        <f>'BRA Load Pricing Results'!J48</f>
        <v>4538.031588134795</v>
      </c>
      <c r="C84" s="322">
        <f>'BRA Load Pricing Results'!K48</f>
        <v>116.54254657486675</v>
      </c>
      <c r="D84" s="345">
        <f>'BRA CTRs'!AA31</f>
        <v>2.333862956633178</v>
      </c>
      <c r="E84" s="346">
        <f t="shared" si="5"/>
        <v>114.20868361823356</v>
      </c>
      <c r="F84" s="323">
        <f>'1st IA Load Pricing Results'!J50</f>
        <v>4520.819940745715</v>
      </c>
      <c r="G84" s="324">
        <f>'1st IA Load Pricing Results'!K50</f>
        <v>117.48326800079238</v>
      </c>
      <c r="H84" s="347">
        <f>'1st IA CTRs'!AA31</f>
        <v>2.3374215368756546</v>
      </c>
      <c r="I84" s="348">
        <f t="shared" si="6"/>
        <v>115.14584646391673</v>
      </c>
      <c r="J84" s="563">
        <f>'2nd IA Load Pricing Results'!J50</f>
        <v>4445.6333893908</v>
      </c>
      <c r="K84" s="564">
        <f>'2nd IA Load Pricing Results'!K50</f>
        <v>117.74769322895426</v>
      </c>
      <c r="L84" s="570">
        <f>'2nd IA CTRs'!AA31</f>
        <v>2.0702385750344074</v>
      </c>
      <c r="M84" s="571">
        <f t="shared" si="7"/>
        <v>115.67745465391985</v>
      </c>
      <c r="N84" s="320" t="s">
        <v>17</v>
      </c>
    </row>
    <row r="85" spans="1:14" ht="12.75">
      <c r="A85" s="320" t="s">
        <v>137</v>
      </c>
      <c r="B85" s="321">
        <f>'BRA Load Pricing Results'!J49</f>
        <v>2455.7370956963746</v>
      </c>
      <c r="C85" s="322">
        <f>'BRA Load Pricing Results'!K49</f>
        <v>96.77254657486675</v>
      </c>
      <c r="D85" s="345">
        <f>'BRA CTRs'!AA32</f>
        <v>0</v>
      </c>
      <c r="E85" s="346">
        <f t="shared" si="5"/>
        <v>96.77254657486675</v>
      </c>
      <c r="F85" s="323">
        <f>'1st IA Load Pricing Results'!J51</f>
        <v>2464.618975348182</v>
      </c>
      <c r="G85" s="324">
        <f>'1st IA Load Pricing Results'!K51</f>
        <v>97.61042274272533</v>
      </c>
      <c r="H85" s="347">
        <f>'1st IA CTRs'!AA32</f>
        <v>0</v>
      </c>
      <c r="I85" s="348">
        <f t="shared" si="6"/>
        <v>97.61042274272533</v>
      </c>
      <c r="J85" s="563">
        <f>'2nd IA Load Pricing Results'!J51</f>
        <v>2551.7494042036424</v>
      </c>
      <c r="K85" s="564">
        <f>'2nd IA Load Pricing Results'!K51</f>
        <v>98.00898673360496</v>
      </c>
      <c r="L85" s="570">
        <f>'2nd IA CTRs'!AA32</f>
        <v>0</v>
      </c>
      <c r="M85" s="571">
        <f t="shared" si="7"/>
        <v>98.00898673360496</v>
      </c>
      <c r="N85" s="320" t="s">
        <v>137</v>
      </c>
    </row>
    <row r="86" spans="1:14" ht="12.75">
      <c r="A86" s="320" t="s">
        <v>12</v>
      </c>
      <c r="B86" s="321">
        <f>'BRA Load Pricing Results'!J50</f>
        <v>6826.747723621571</v>
      </c>
      <c r="C86" s="322">
        <f>'BRA Load Pricing Results'!K50</f>
        <v>116.54254657486675</v>
      </c>
      <c r="D86" s="345">
        <f>'BRA CTRs'!AA33</f>
        <v>2.333862956633178</v>
      </c>
      <c r="E86" s="346">
        <f t="shared" si="5"/>
        <v>114.20868361823356</v>
      </c>
      <c r="F86" s="323">
        <f>'1st IA Load Pricing Results'!J52</f>
        <v>6838.979740039067</v>
      </c>
      <c r="G86" s="324">
        <f>'1st IA Load Pricing Results'!K52</f>
        <v>117.48326800079238</v>
      </c>
      <c r="H86" s="347">
        <f>'1st IA CTRs'!AA33</f>
        <v>2.337421536875654</v>
      </c>
      <c r="I86" s="348">
        <f t="shared" si="6"/>
        <v>115.14584646391673</v>
      </c>
      <c r="J86" s="563">
        <f>'2nd IA Load Pricing Results'!J52</f>
        <v>6685.4899160043</v>
      </c>
      <c r="K86" s="564">
        <f>'2nd IA Load Pricing Results'!K52</f>
        <v>117.74769322895426</v>
      </c>
      <c r="L86" s="570">
        <f>'2nd IA CTRs'!AA33</f>
        <v>2.0702385750344074</v>
      </c>
      <c r="M86" s="571">
        <f t="shared" si="7"/>
        <v>115.67745465391985</v>
      </c>
      <c r="N86" s="320" t="s">
        <v>12</v>
      </c>
    </row>
    <row r="87" spans="1:14" ht="12.75">
      <c r="A87" s="320" t="s">
        <v>13</v>
      </c>
      <c r="B87" s="321">
        <f>'BRA Load Pricing Results'!J51</f>
        <v>3403.523691101096</v>
      </c>
      <c r="C87" s="322">
        <f>'BRA Load Pricing Results'!K51</f>
        <v>96.77254657486675</v>
      </c>
      <c r="D87" s="345">
        <f>'BRA CTRs'!AA34</f>
        <v>0</v>
      </c>
      <c r="E87" s="346">
        <f t="shared" si="5"/>
        <v>96.77254657486675</v>
      </c>
      <c r="F87" s="323">
        <f>'1st IA Load Pricing Results'!J53</f>
        <v>3352.990067020177</v>
      </c>
      <c r="G87" s="324">
        <f>'1st IA Load Pricing Results'!K53</f>
        <v>97.61042274272533</v>
      </c>
      <c r="H87" s="347">
        <f>'1st IA CTRs'!AA34</f>
        <v>0</v>
      </c>
      <c r="I87" s="348">
        <f t="shared" si="6"/>
        <v>97.61042274272533</v>
      </c>
      <c r="J87" s="563">
        <f>'2nd IA Load Pricing Results'!J53</f>
        <v>3379.7625238931905</v>
      </c>
      <c r="K87" s="564">
        <f>'2nd IA Load Pricing Results'!K53</f>
        <v>98.00898673360496</v>
      </c>
      <c r="L87" s="570">
        <f>'2nd IA CTRs'!AA34</f>
        <v>0</v>
      </c>
      <c r="M87" s="571">
        <f t="shared" si="7"/>
        <v>98.00898673360496</v>
      </c>
      <c r="N87" s="320" t="s">
        <v>13</v>
      </c>
    </row>
    <row r="88" spans="1:14" ht="12.75">
      <c r="A88" s="320" t="s">
        <v>9</v>
      </c>
      <c r="B88" s="321">
        <f>'BRA Load Pricing Results'!J52</f>
        <v>9846.694178851214</v>
      </c>
      <c r="C88" s="322">
        <f>'BRA Load Pricing Results'!K52</f>
        <v>116.54254657486675</v>
      </c>
      <c r="D88" s="345">
        <f>'BRA CTRs'!AA35</f>
        <v>2.3338629566331774</v>
      </c>
      <c r="E88" s="346">
        <f t="shared" si="5"/>
        <v>114.20868361823356</v>
      </c>
      <c r="F88" s="323">
        <f>'1st IA Load Pricing Results'!J54</f>
        <v>9739.304481379415</v>
      </c>
      <c r="G88" s="324">
        <f>'1st IA Load Pricing Results'!K54</f>
        <v>117.48326800079238</v>
      </c>
      <c r="H88" s="347">
        <f>'1st IA CTRs'!AA35</f>
        <v>2.337421536875654</v>
      </c>
      <c r="I88" s="348">
        <f t="shared" si="6"/>
        <v>115.14584646391673</v>
      </c>
      <c r="J88" s="563">
        <f>'2nd IA Load Pricing Results'!J54</f>
        <v>9841.971883729302</v>
      </c>
      <c r="K88" s="564">
        <f>'2nd IA Load Pricing Results'!K54</f>
        <v>117.74769322895426</v>
      </c>
      <c r="L88" s="570">
        <f>'2nd IA CTRs'!AA35</f>
        <v>2.070238575034407</v>
      </c>
      <c r="M88" s="571">
        <f t="shared" si="7"/>
        <v>115.67745465391985</v>
      </c>
      <c r="N88" s="320" t="s">
        <v>9</v>
      </c>
    </row>
    <row r="89" spans="1:14" ht="12.75">
      <c r="A89" s="320" t="s">
        <v>14</v>
      </c>
      <c r="B89" s="321">
        <f>'BRA Load Pricing Results'!J53</f>
        <v>3220.4264002621535</v>
      </c>
      <c r="C89" s="322">
        <f>'BRA Load Pricing Results'!K53</f>
        <v>96.77254657486675</v>
      </c>
      <c r="D89" s="345">
        <f>'BRA CTRs'!AA36</f>
        <v>0</v>
      </c>
      <c r="E89" s="346">
        <f t="shared" si="5"/>
        <v>96.77254657486675</v>
      </c>
      <c r="F89" s="323">
        <f>'1st IA Load Pricing Results'!J55</f>
        <v>3236.3237459686748</v>
      </c>
      <c r="G89" s="324">
        <f>'1st IA Load Pricing Results'!K55</f>
        <v>97.61042274272533</v>
      </c>
      <c r="H89" s="347">
        <f>'1st IA CTRs'!AA36</f>
        <v>0</v>
      </c>
      <c r="I89" s="348">
        <f t="shared" si="6"/>
        <v>97.61042274272533</v>
      </c>
      <c r="J89" s="563">
        <f>'2nd IA Load Pricing Results'!J55</f>
        <v>3256.3706375897195</v>
      </c>
      <c r="K89" s="564">
        <f>'2nd IA Load Pricing Results'!K55</f>
        <v>98.00898673360496</v>
      </c>
      <c r="L89" s="570">
        <f>'2nd IA CTRs'!AA36</f>
        <v>0</v>
      </c>
      <c r="M89" s="571">
        <f t="shared" si="7"/>
        <v>98.00898673360496</v>
      </c>
      <c r="N89" s="320" t="s">
        <v>14</v>
      </c>
    </row>
    <row r="90" spans="1:14" ht="12.75">
      <c r="A90" s="320" t="s">
        <v>15</v>
      </c>
      <c r="B90" s="321">
        <f>'BRA Load Pricing Results'!J54</f>
        <v>7401.534155622302</v>
      </c>
      <c r="C90" s="322">
        <f>'BRA Load Pricing Results'!K54</f>
        <v>91.64452119499754</v>
      </c>
      <c r="D90" s="345">
        <f>'BRA CTRs'!AA37</f>
        <v>0</v>
      </c>
      <c r="E90" s="346">
        <f t="shared" si="5"/>
        <v>91.64452119499754</v>
      </c>
      <c r="F90" s="323">
        <f>'1st IA Load Pricing Results'!J56</f>
        <v>7381.478132928552</v>
      </c>
      <c r="G90" s="324">
        <f>'1st IA Load Pricing Results'!K56</f>
        <v>92.46846413816309</v>
      </c>
      <c r="H90" s="347">
        <f>'1st IA CTRs'!AA37</f>
        <v>0</v>
      </c>
      <c r="I90" s="348">
        <f t="shared" si="6"/>
        <v>92.46846413816309</v>
      </c>
      <c r="J90" s="563">
        <f>'2nd IA Load Pricing Results'!J56</f>
        <v>7281.296452726779</v>
      </c>
      <c r="K90" s="564">
        <f>'2nd IA Load Pricing Results'!K56</f>
        <v>92.79628110536672</v>
      </c>
      <c r="L90" s="570">
        <f>'2nd IA CTRs'!AA37</f>
        <v>0</v>
      </c>
      <c r="M90" s="571">
        <f t="shared" si="7"/>
        <v>92.79628110536672</v>
      </c>
      <c r="N90" s="320" t="s">
        <v>15</v>
      </c>
    </row>
    <row r="91" spans="1:14" ht="12.75">
      <c r="A91" s="320" t="s">
        <v>10</v>
      </c>
      <c r="B91" s="321">
        <f>'BRA Load Pricing Results'!J55</f>
        <v>8420.15769136553</v>
      </c>
      <c r="C91" s="322">
        <f>'BRA Load Pricing Results'!K55</f>
        <v>96.77254657486675</v>
      </c>
      <c r="D91" s="345">
        <f>'BRA CTRs'!AA38</f>
        <v>0</v>
      </c>
      <c r="E91" s="346">
        <f t="shared" si="5"/>
        <v>96.77254657486675</v>
      </c>
      <c r="F91" s="323">
        <f>'1st IA Load Pricing Results'!J57</f>
        <v>8276.308815393575</v>
      </c>
      <c r="G91" s="324">
        <f>'1st IA Load Pricing Results'!K57</f>
        <v>97.61042274272533</v>
      </c>
      <c r="H91" s="347">
        <f>'1st IA CTRs'!AA38</f>
        <v>0</v>
      </c>
      <c r="I91" s="348">
        <f t="shared" si="6"/>
        <v>97.61042274272533</v>
      </c>
      <c r="J91" s="563">
        <f>'2nd IA Load Pricing Results'!J57</f>
        <v>8291.934759593307</v>
      </c>
      <c r="K91" s="564">
        <f>'2nd IA Load Pricing Results'!K57</f>
        <v>98.00898673360496</v>
      </c>
      <c r="L91" s="570">
        <f>'2nd IA CTRs'!AA38</f>
        <v>0</v>
      </c>
      <c r="M91" s="571">
        <f t="shared" si="7"/>
        <v>98.00898673360496</v>
      </c>
      <c r="N91" s="320" t="s">
        <v>10</v>
      </c>
    </row>
    <row r="92" spans="1:14" ht="12.75">
      <c r="A92" s="320" t="s">
        <v>8</v>
      </c>
      <c r="B92" s="321">
        <f>'BRA Load Pricing Results'!J56</f>
        <v>11435.46877214355</v>
      </c>
      <c r="C92" s="322">
        <f>'BRA Load Pricing Results'!K56</f>
        <v>116.78972244988513</v>
      </c>
      <c r="D92" s="345">
        <f>'BRA CTRs'!AA39</f>
        <v>2.333862956633178</v>
      </c>
      <c r="E92" s="346">
        <f t="shared" si="5"/>
        <v>114.45585949325195</v>
      </c>
      <c r="F92" s="323">
        <f>'1st IA Load Pricing Results'!J58</f>
        <v>11299.133193837999</v>
      </c>
      <c r="G92" s="324">
        <f>'1st IA Load Pricing Results'!K58</f>
        <v>117.73342630510739</v>
      </c>
      <c r="H92" s="347">
        <f>'1st IA CTRs'!AA39</f>
        <v>2.337421536875654</v>
      </c>
      <c r="I92" s="348">
        <f t="shared" si="6"/>
        <v>115.39600476823173</v>
      </c>
      <c r="J92" s="563">
        <f>'2nd IA Load Pricing Results'!J58</f>
        <v>11169.903612519045</v>
      </c>
      <c r="K92" s="564">
        <f>'2nd IA Load Pricing Results'!K58</f>
        <v>118.00074572591869</v>
      </c>
      <c r="L92" s="570">
        <f>'2nd IA CTRs'!AA39</f>
        <v>2.0702385750344074</v>
      </c>
      <c r="M92" s="571">
        <f t="shared" si="7"/>
        <v>115.93050715088428</v>
      </c>
      <c r="N92" s="320" t="s">
        <v>8</v>
      </c>
    </row>
    <row r="93" spans="1:14" ht="12.75">
      <c r="A93" s="320" t="s">
        <v>18</v>
      </c>
      <c r="B93" s="321">
        <f>'BRA Load Pricing Results'!J57</f>
        <v>455.42553987154605</v>
      </c>
      <c r="C93" s="322">
        <f>'BRA Load Pricing Results'!K57</f>
        <v>116.54254657486675</v>
      </c>
      <c r="D93" s="345">
        <f>'BRA CTRs'!AA40</f>
        <v>2.3338629566331774</v>
      </c>
      <c r="E93" s="346">
        <f t="shared" si="5"/>
        <v>114.20868361823356</v>
      </c>
      <c r="F93" s="323">
        <f>'1st IA Load Pricing Results'!J59</f>
        <v>450.33199925879893</v>
      </c>
      <c r="G93" s="324">
        <f>'1st IA Load Pricing Results'!K59</f>
        <v>117.48326800079238</v>
      </c>
      <c r="H93" s="347">
        <f>'1st IA CTRs'!AA40</f>
        <v>2.337421536875654</v>
      </c>
      <c r="I93" s="348">
        <f t="shared" si="6"/>
        <v>115.14584646391673</v>
      </c>
      <c r="J93" s="563">
        <f>'2nd IA Load Pricing Results'!J59</f>
        <v>447.73627315831214</v>
      </c>
      <c r="K93" s="564">
        <f>'2nd IA Load Pricing Results'!K59</f>
        <v>117.74769322895426</v>
      </c>
      <c r="L93" s="570">
        <f>'2nd IA CTRs'!AA40</f>
        <v>2.0702385750344074</v>
      </c>
      <c r="M93" s="571">
        <f t="shared" si="7"/>
        <v>115.67745465391985</v>
      </c>
      <c r="N93" s="320" t="s">
        <v>18</v>
      </c>
    </row>
    <row r="94" spans="1:14" ht="12.75">
      <c r="A94" s="349" t="s">
        <v>50</v>
      </c>
      <c r="B94" s="350">
        <f>SUM(B74:B93)</f>
        <v>167305.89999999997</v>
      </c>
      <c r="C94" s="26"/>
      <c r="D94" s="26"/>
      <c r="E94" s="26"/>
      <c r="F94" s="351">
        <f>SUM(F74:F93)</f>
        <v>165608.99999999997</v>
      </c>
      <c r="G94" s="26"/>
      <c r="H94" s="352" t="s">
        <v>24</v>
      </c>
      <c r="I94" s="26"/>
      <c r="J94" s="572">
        <f>SUM(J74:J93)</f>
        <v>164927.99999999994</v>
      </c>
      <c r="K94" s="26"/>
      <c r="L94" s="352" t="s">
        <v>24</v>
      </c>
      <c r="M94" s="26"/>
      <c r="N94" s="27"/>
    </row>
    <row r="95" spans="1:10" ht="12.75">
      <c r="A95" s="353" t="s">
        <v>260</v>
      </c>
      <c r="B95" s="354"/>
      <c r="C95" s="354"/>
      <c r="D95" s="354"/>
      <c r="E95" s="354"/>
      <c r="F95" s="354"/>
      <c r="G95" s="354"/>
      <c r="H95" s="354"/>
      <c r="I95" s="354"/>
      <c r="J95" s="355"/>
    </row>
    <row r="96" spans="1:10" ht="12.75">
      <c r="A96" s="356" t="s">
        <v>261</v>
      </c>
      <c r="B96" s="356"/>
      <c r="C96" s="356"/>
      <c r="D96" s="356"/>
      <c r="E96" s="356"/>
      <c r="F96" s="356"/>
      <c r="G96" s="356"/>
      <c r="H96" s="356"/>
      <c r="I96" s="356"/>
      <c r="J96" s="356"/>
    </row>
  </sheetData>
  <sheetProtection/>
  <mergeCells count="29">
    <mergeCell ref="A4:A6"/>
    <mergeCell ref="A72:A73"/>
    <mergeCell ref="B72:E72"/>
    <mergeCell ref="F72:I72"/>
    <mergeCell ref="F53:I53"/>
    <mergeCell ref="B4:D4"/>
    <mergeCell ref="E4:G4"/>
    <mergeCell ref="B5:D5"/>
    <mergeCell ref="B52:E52"/>
    <mergeCell ref="J28:M28"/>
    <mergeCell ref="A52:A54"/>
    <mergeCell ref="B53:E67"/>
    <mergeCell ref="A27:A29"/>
    <mergeCell ref="F52:I52"/>
    <mergeCell ref="E5:G5"/>
    <mergeCell ref="F27:I27"/>
    <mergeCell ref="B28:E28"/>
    <mergeCell ref="F28:I28"/>
    <mergeCell ref="B27:E27"/>
    <mergeCell ref="N52:N54"/>
    <mergeCell ref="J52:M52"/>
    <mergeCell ref="J53:M53"/>
    <mergeCell ref="N72:N73"/>
    <mergeCell ref="J72:M72"/>
    <mergeCell ref="K4:K6"/>
    <mergeCell ref="H4:J4"/>
    <mergeCell ref="H5:J5"/>
    <mergeCell ref="N27:N29"/>
    <mergeCell ref="J27:M27"/>
  </mergeCells>
  <printOptions/>
  <pageMargins left="0.5" right="0.5" top="0.5" bottom="0.5" header="0.3" footer="0.3"/>
  <pageSetup fitToHeight="1" fitToWidth="1" horizontalDpi="600" verticalDpi="600" orientation="portrait" paperSize="17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4.57421875" style="4" customWidth="1"/>
    <col min="2" max="2" width="16.00390625" style="4" customWidth="1"/>
    <col min="3" max="3" width="15.00390625" style="4" customWidth="1"/>
    <col min="4" max="4" width="15.421875" style="4" bestFit="1" customWidth="1"/>
    <col min="5" max="5" width="14.28125" style="4" customWidth="1"/>
    <col min="6" max="6" width="17.8515625" style="4" customWidth="1"/>
    <col min="7" max="7" width="16.421875" style="4" customWidth="1"/>
    <col min="8" max="8" width="16.00390625" style="4" customWidth="1"/>
    <col min="9" max="9" width="18.28125" style="4" customWidth="1"/>
    <col min="10" max="10" width="19.140625" style="4" customWidth="1"/>
    <col min="11" max="11" width="12.7109375" style="4" customWidth="1"/>
    <col min="12" max="12" width="9.140625" style="4" customWidth="1"/>
    <col min="13" max="13" width="11.28125" style="4" bestFit="1" customWidth="1"/>
    <col min="14" max="15" width="9.140625" style="4" customWidth="1"/>
    <col min="16" max="16384" width="9.140625" style="4" customWidth="1"/>
  </cols>
  <sheetData>
    <row r="1" ht="18.75">
      <c r="A1" s="66" t="s">
        <v>221</v>
      </c>
    </row>
    <row r="2" spans="1:7" ht="18.75">
      <c r="A2" s="63"/>
      <c r="B2" s="7"/>
      <c r="E2" s="22"/>
      <c r="F2" s="21"/>
      <c r="G2" s="16"/>
    </row>
    <row r="3" spans="1:11" ht="15.75">
      <c r="A3" s="621" t="s">
        <v>58</v>
      </c>
      <c r="B3" s="621"/>
      <c r="C3" s="72"/>
      <c r="D3" s="72"/>
      <c r="E3" s="72"/>
      <c r="F3" s="72"/>
      <c r="G3" s="72"/>
      <c r="H3" s="72"/>
      <c r="K3" s="7"/>
    </row>
    <row r="4" spans="1:10" s="6" customFormat="1" ht="69.75" customHeight="1">
      <c r="A4" s="227" t="s">
        <v>151</v>
      </c>
      <c r="B4" s="203" t="s">
        <v>155</v>
      </c>
      <c r="C4" s="203" t="s">
        <v>157</v>
      </c>
      <c r="D4" s="228" t="s">
        <v>171</v>
      </c>
      <c r="E4" s="203" t="s">
        <v>175</v>
      </c>
      <c r="F4" s="228" t="s">
        <v>176</v>
      </c>
      <c r="G4" s="203" t="s">
        <v>177</v>
      </c>
      <c r="H4" s="228" t="s">
        <v>211</v>
      </c>
      <c r="I4" s="29"/>
      <c r="J4" s="29"/>
    </row>
    <row r="5" spans="1:10" ht="12.75">
      <c r="A5" s="32" t="s">
        <v>6</v>
      </c>
      <c r="B5" s="33">
        <v>100</v>
      </c>
      <c r="C5" s="33">
        <v>0</v>
      </c>
      <c r="D5" s="182">
        <f>B5+C5</f>
        <v>100</v>
      </c>
      <c r="E5" s="299">
        <v>-20</v>
      </c>
      <c r="F5" s="182">
        <f>D5+E5</f>
        <v>80</v>
      </c>
      <c r="G5" s="299">
        <v>0</v>
      </c>
      <c r="H5" s="182">
        <f>F5+G5</f>
        <v>80</v>
      </c>
      <c r="I5" s="34"/>
      <c r="J5" s="116" t="s">
        <v>24</v>
      </c>
    </row>
    <row r="6" spans="1:10" ht="12.75">
      <c r="A6" s="32" t="s">
        <v>29</v>
      </c>
      <c r="B6" s="33">
        <f>$B$5</f>
        <v>100</v>
      </c>
      <c r="C6" s="33">
        <v>0</v>
      </c>
      <c r="D6" s="182">
        <f>B6+C6</f>
        <v>100</v>
      </c>
      <c r="E6" s="299">
        <v>-20</v>
      </c>
      <c r="F6" s="182">
        <f aca="true" t="shared" si="0" ref="F6:F17">D6+E6</f>
        <v>80</v>
      </c>
      <c r="G6" s="299">
        <v>0</v>
      </c>
      <c r="H6" s="182">
        <f aca="true" t="shared" si="1" ref="H6:H17">F6+G6</f>
        <v>80</v>
      </c>
      <c r="I6" s="34"/>
      <c r="J6" s="114" t="s">
        <v>24</v>
      </c>
    </row>
    <row r="7" spans="1:10" ht="12.75">
      <c r="A7" s="32" t="s">
        <v>35</v>
      </c>
      <c r="B7" s="33">
        <f aca="true" t="shared" si="2" ref="B7:B17">$B$5</f>
        <v>100</v>
      </c>
      <c r="C7" s="33">
        <v>19.77</v>
      </c>
      <c r="D7" s="182">
        <f>B7+C6+C7</f>
        <v>119.77</v>
      </c>
      <c r="E7" s="299">
        <v>-20</v>
      </c>
      <c r="F7" s="182">
        <f t="shared" si="0"/>
        <v>99.77</v>
      </c>
      <c r="G7" s="299">
        <v>0</v>
      </c>
      <c r="H7" s="182">
        <f t="shared" si="1"/>
        <v>99.77</v>
      </c>
      <c r="I7" s="34" t="s">
        <v>24</v>
      </c>
      <c r="J7" s="116"/>
    </row>
    <row r="8" spans="1:10" ht="12.75">
      <c r="A8" s="32" t="s">
        <v>5</v>
      </c>
      <c r="B8" s="33">
        <f t="shared" si="2"/>
        <v>100</v>
      </c>
      <c r="C8" s="33">
        <v>0</v>
      </c>
      <c r="D8" s="182">
        <f>B8+C6+C8</f>
        <v>100</v>
      </c>
      <c r="E8" s="299">
        <v>-20</v>
      </c>
      <c r="F8" s="182">
        <f t="shared" si="0"/>
        <v>80</v>
      </c>
      <c r="G8" s="299">
        <v>0</v>
      </c>
      <c r="H8" s="182">
        <f t="shared" si="1"/>
        <v>80</v>
      </c>
      <c r="I8" s="34" t="s">
        <v>24</v>
      </c>
      <c r="J8" s="34"/>
    </row>
    <row r="9" spans="1:10" ht="12.75">
      <c r="A9" s="32" t="s">
        <v>8</v>
      </c>
      <c r="B9" s="33">
        <f t="shared" si="2"/>
        <v>100</v>
      </c>
      <c r="C9" s="33">
        <v>0</v>
      </c>
      <c r="D9" s="182">
        <f>B9+C6+C7+C9</f>
        <v>119.77</v>
      </c>
      <c r="E9" s="299">
        <v>-20</v>
      </c>
      <c r="F9" s="182">
        <f t="shared" si="0"/>
        <v>99.77</v>
      </c>
      <c r="G9" s="299">
        <v>0</v>
      </c>
      <c r="H9" s="182">
        <f t="shared" si="1"/>
        <v>99.77</v>
      </c>
      <c r="I9" s="34"/>
      <c r="J9" s="34"/>
    </row>
    <row r="10" spans="1:10" ht="12.75">
      <c r="A10" s="32" t="s">
        <v>36</v>
      </c>
      <c r="B10" s="33">
        <f t="shared" si="2"/>
        <v>100</v>
      </c>
      <c r="C10" s="33">
        <v>0</v>
      </c>
      <c r="D10" s="182">
        <f>B10+C6+C7+C9+C10</f>
        <v>119.77</v>
      </c>
      <c r="E10" s="299">
        <v>-20</v>
      </c>
      <c r="F10" s="182">
        <f t="shared" si="0"/>
        <v>99.77</v>
      </c>
      <c r="G10" s="299">
        <v>0</v>
      </c>
      <c r="H10" s="182">
        <f t="shared" si="1"/>
        <v>99.77</v>
      </c>
      <c r="I10" s="34"/>
      <c r="J10" s="34"/>
    </row>
    <row r="11" spans="1:10" ht="12.75">
      <c r="A11" s="32" t="s">
        <v>37</v>
      </c>
      <c r="B11" s="33">
        <f t="shared" si="2"/>
        <v>100</v>
      </c>
      <c r="C11" s="33">
        <v>0</v>
      </c>
      <c r="D11" s="182">
        <f>B11+C6+C7+C11</f>
        <v>119.77</v>
      </c>
      <c r="E11" s="299">
        <v>-20</v>
      </c>
      <c r="F11" s="182">
        <f t="shared" si="0"/>
        <v>99.77</v>
      </c>
      <c r="G11" s="299">
        <v>0</v>
      </c>
      <c r="H11" s="182">
        <f t="shared" si="1"/>
        <v>99.77</v>
      </c>
      <c r="I11" s="34" t="s">
        <v>24</v>
      </c>
      <c r="J11" s="34"/>
    </row>
    <row r="12" spans="1:10" ht="12.75">
      <c r="A12" s="24" t="s">
        <v>15</v>
      </c>
      <c r="B12" s="33">
        <f t="shared" si="2"/>
        <v>100</v>
      </c>
      <c r="C12" s="37">
        <v>0</v>
      </c>
      <c r="D12" s="182">
        <f>B12+C6+C8+C12</f>
        <v>100</v>
      </c>
      <c r="E12" s="299">
        <v>-20</v>
      </c>
      <c r="F12" s="182">
        <f t="shared" si="0"/>
        <v>80</v>
      </c>
      <c r="G12" s="299">
        <v>-79.99</v>
      </c>
      <c r="H12" s="182">
        <f t="shared" si="1"/>
        <v>0.010000000000005116</v>
      </c>
      <c r="I12" s="34" t="s">
        <v>24</v>
      </c>
      <c r="J12" s="34"/>
    </row>
    <row r="13" spans="1:10" ht="12.75">
      <c r="A13" s="24" t="s">
        <v>45</v>
      </c>
      <c r="B13" s="33">
        <f t="shared" si="2"/>
        <v>100</v>
      </c>
      <c r="C13" s="37">
        <v>0</v>
      </c>
      <c r="D13" s="182">
        <f>B13+C13</f>
        <v>100</v>
      </c>
      <c r="E13" s="299">
        <v>-20</v>
      </c>
      <c r="F13" s="182">
        <f t="shared" si="0"/>
        <v>80</v>
      </c>
      <c r="G13" s="299">
        <v>0</v>
      </c>
      <c r="H13" s="182">
        <f t="shared" si="1"/>
        <v>80</v>
      </c>
      <c r="I13" s="34"/>
      <c r="J13" s="38" t="s">
        <v>24</v>
      </c>
    </row>
    <row r="14" spans="1:10" ht="12.75">
      <c r="A14" s="24" t="s">
        <v>127</v>
      </c>
      <c r="B14" s="33">
        <f t="shared" si="2"/>
        <v>100</v>
      </c>
      <c r="C14" s="37">
        <v>0</v>
      </c>
      <c r="D14" s="182">
        <f>B14+C13+C14</f>
        <v>100</v>
      </c>
      <c r="E14" s="299">
        <v>-20</v>
      </c>
      <c r="F14" s="182">
        <f t="shared" si="0"/>
        <v>80</v>
      </c>
      <c r="G14" s="299">
        <v>0</v>
      </c>
      <c r="H14" s="182">
        <f t="shared" si="1"/>
        <v>80</v>
      </c>
      <c r="I14" s="34"/>
      <c r="J14" s="34" t="s">
        <v>24</v>
      </c>
    </row>
    <row r="15" spans="1:10" ht="12.75">
      <c r="A15" s="24" t="s">
        <v>20</v>
      </c>
      <c r="B15" s="33">
        <f t="shared" si="2"/>
        <v>100</v>
      </c>
      <c r="C15" s="37">
        <v>102.77</v>
      </c>
      <c r="D15" s="182">
        <f>B15+C15</f>
        <v>202.76999999999998</v>
      </c>
      <c r="E15" s="299">
        <v>-20</v>
      </c>
      <c r="F15" s="182">
        <f t="shared" si="0"/>
        <v>182.76999999999998</v>
      </c>
      <c r="G15" s="299">
        <v>0</v>
      </c>
      <c r="H15" s="182">
        <f t="shared" si="1"/>
        <v>182.76999999999998</v>
      </c>
      <c r="I15" s="34" t="s">
        <v>24</v>
      </c>
      <c r="J15" s="38" t="s">
        <v>24</v>
      </c>
    </row>
    <row r="16" spans="1:10" ht="12.75">
      <c r="A16" s="24" t="s">
        <v>11</v>
      </c>
      <c r="B16" s="33">
        <f t="shared" si="2"/>
        <v>100</v>
      </c>
      <c r="C16" s="37">
        <v>0.3</v>
      </c>
      <c r="D16" s="182">
        <f>B16+C6+C8+C16</f>
        <v>100.3</v>
      </c>
      <c r="E16" s="299">
        <v>-20</v>
      </c>
      <c r="F16" s="182">
        <f t="shared" si="0"/>
        <v>80.3</v>
      </c>
      <c r="G16" s="299">
        <v>0</v>
      </c>
      <c r="H16" s="182">
        <f t="shared" si="1"/>
        <v>80.3</v>
      </c>
      <c r="I16" s="34"/>
      <c r="J16" s="34"/>
    </row>
    <row r="17" spans="1:10" ht="12.75">
      <c r="A17" s="24" t="s">
        <v>10</v>
      </c>
      <c r="B17" s="33">
        <f t="shared" si="2"/>
        <v>100</v>
      </c>
      <c r="C17" s="37">
        <v>0</v>
      </c>
      <c r="D17" s="182">
        <f>B17+C6+C17</f>
        <v>100</v>
      </c>
      <c r="E17" s="299">
        <v>-20</v>
      </c>
      <c r="F17" s="182">
        <f t="shared" si="0"/>
        <v>80</v>
      </c>
      <c r="G17" s="299">
        <v>0</v>
      </c>
      <c r="H17" s="182">
        <f t="shared" si="1"/>
        <v>80</v>
      </c>
      <c r="I17" s="34" t="s">
        <v>24</v>
      </c>
      <c r="J17" s="34"/>
    </row>
    <row r="18" spans="1:11" ht="12.75">
      <c r="A18" s="24" t="s">
        <v>206</v>
      </c>
      <c r="B18" s="33" t="s">
        <v>147</v>
      </c>
      <c r="C18" s="33" t="s">
        <v>147</v>
      </c>
      <c r="D18" s="182" t="s">
        <v>147</v>
      </c>
      <c r="E18" s="33" t="s">
        <v>147</v>
      </c>
      <c r="F18" s="182" t="s">
        <v>147</v>
      </c>
      <c r="G18" s="33" t="s">
        <v>147</v>
      </c>
      <c r="H18" s="182" t="s">
        <v>147</v>
      </c>
      <c r="I18" s="136" t="s">
        <v>24</v>
      </c>
      <c r="J18" s="34"/>
      <c r="K18"/>
    </row>
    <row r="19" spans="1:11" ht="12.75">
      <c r="A19" s="24" t="s">
        <v>207</v>
      </c>
      <c r="B19" s="33" t="s">
        <v>147</v>
      </c>
      <c r="C19" s="33" t="s">
        <v>147</v>
      </c>
      <c r="D19" s="182" t="s">
        <v>147</v>
      </c>
      <c r="E19" s="33" t="s">
        <v>147</v>
      </c>
      <c r="F19" s="182" t="s">
        <v>147</v>
      </c>
      <c r="G19" s="33" t="s">
        <v>147</v>
      </c>
      <c r="H19" s="182" t="s">
        <v>147</v>
      </c>
      <c r="I19" s="34"/>
      <c r="J19" s="34"/>
      <c r="K19"/>
    </row>
    <row r="20" spans="1:11" ht="12.75">
      <c r="A20" s="24" t="s">
        <v>208</v>
      </c>
      <c r="B20" s="33" t="s">
        <v>147</v>
      </c>
      <c r="C20" s="33" t="s">
        <v>147</v>
      </c>
      <c r="D20" s="182" t="s">
        <v>147</v>
      </c>
      <c r="E20" s="33" t="s">
        <v>147</v>
      </c>
      <c r="F20" s="182" t="s">
        <v>147</v>
      </c>
      <c r="G20" s="33" t="s">
        <v>147</v>
      </c>
      <c r="H20" s="182" t="s">
        <v>147</v>
      </c>
      <c r="I20" s="34"/>
      <c r="J20" s="34"/>
      <c r="K20"/>
    </row>
    <row r="21" spans="1:11" ht="12.75">
      <c r="A21" s="24" t="s">
        <v>209</v>
      </c>
      <c r="B21" s="33" t="s">
        <v>147</v>
      </c>
      <c r="C21" s="33" t="s">
        <v>147</v>
      </c>
      <c r="D21" s="182" t="s">
        <v>147</v>
      </c>
      <c r="E21" s="33" t="s">
        <v>147</v>
      </c>
      <c r="F21" s="182" t="s">
        <v>147</v>
      </c>
      <c r="G21" s="33" t="s">
        <v>147</v>
      </c>
      <c r="H21" s="182" t="s">
        <v>147</v>
      </c>
      <c r="I21" s="34"/>
      <c r="J21" s="34"/>
      <c r="K21"/>
    </row>
    <row r="22" spans="1:11" ht="12.75">
      <c r="A22" s="24" t="s">
        <v>210</v>
      </c>
      <c r="B22" s="33" t="s">
        <v>147</v>
      </c>
      <c r="C22" s="33" t="s">
        <v>147</v>
      </c>
      <c r="D22" s="182" t="s">
        <v>147</v>
      </c>
      <c r="E22" s="33" t="s">
        <v>147</v>
      </c>
      <c r="F22" s="182" t="s">
        <v>147</v>
      </c>
      <c r="G22" s="33" t="s">
        <v>147</v>
      </c>
      <c r="H22" s="182" t="s">
        <v>147</v>
      </c>
      <c r="I22" s="136" t="s">
        <v>24</v>
      </c>
      <c r="J22" s="34"/>
      <c r="K22"/>
    </row>
    <row r="23" spans="1:11" ht="12.75">
      <c r="A23" s="25" t="s">
        <v>199</v>
      </c>
      <c r="B23" s="36"/>
      <c r="C23" s="35"/>
      <c r="D23" s="35"/>
      <c r="E23" s="35"/>
      <c r="F23" s="35"/>
      <c r="G23" s="35"/>
      <c r="H23" s="35"/>
      <c r="I23" s="34"/>
      <c r="J23" s="34"/>
      <c r="K23"/>
    </row>
    <row r="24" spans="1:11" ht="23.25" customHeight="1">
      <c r="A24" s="620" t="s">
        <v>156</v>
      </c>
      <c r="B24" s="620"/>
      <c r="C24" s="620"/>
      <c r="D24" s="620"/>
      <c r="E24" s="620"/>
      <c r="F24" s="620"/>
      <c r="G24" s="620"/>
      <c r="H24" s="620"/>
      <c r="I24" s="71" t="s">
        <v>24</v>
      </c>
      <c r="J24" s="42"/>
      <c r="K24"/>
    </row>
    <row r="25" spans="1:11" ht="12.75" customHeight="1">
      <c r="A25" s="312" t="s">
        <v>225</v>
      </c>
      <c r="B25" s="285"/>
      <c r="C25" s="285"/>
      <c r="D25" s="285"/>
      <c r="E25" s="285"/>
      <c r="F25" s="285"/>
      <c r="G25" s="285"/>
      <c r="H25" s="285"/>
      <c r="I25" s="71"/>
      <c r="J25" s="42"/>
      <c r="K25"/>
    </row>
    <row r="26" spans="1:11" ht="12.75">
      <c r="A26" s="25"/>
      <c r="B26" s="36"/>
      <c r="C26" s="36"/>
      <c r="D26" s="36"/>
      <c r="E26" s="40"/>
      <c r="F26" s="41"/>
      <c r="G26" s="41"/>
      <c r="H26" s="41"/>
      <c r="I26" s="42"/>
      <c r="J26" s="42"/>
      <c r="K26"/>
    </row>
    <row r="27" spans="1:11" ht="15.75">
      <c r="A27" s="622" t="s">
        <v>59</v>
      </c>
      <c r="B27" s="622"/>
      <c r="C27" s="67" t="s">
        <v>24</v>
      </c>
      <c r="D27" s="35"/>
      <c r="E27" s="68"/>
      <c r="F27" s="69"/>
      <c r="G27" s="41"/>
      <c r="H27" s="41"/>
      <c r="I27" s="42"/>
      <c r="J27" s="42"/>
      <c r="K27"/>
    </row>
    <row r="28" spans="1:11" ht="60" customHeight="1">
      <c r="A28" s="28" t="s">
        <v>151</v>
      </c>
      <c r="B28" s="203" t="s">
        <v>172</v>
      </c>
      <c r="C28" s="203" t="s">
        <v>173</v>
      </c>
      <c r="D28" s="203" t="s">
        <v>212</v>
      </c>
      <c r="E28" s="203" t="s">
        <v>53</v>
      </c>
      <c r="F28" s="203" t="s">
        <v>174</v>
      </c>
      <c r="G28" s="203" t="s">
        <v>179</v>
      </c>
      <c r="H28" s="203" t="s">
        <v>213</v>
      </c>
      <c r="I28" s="203" t="s">
        <v>84</v>
      </c>
      <c r="J28" s="45" t="s">
        <v>24</v>
      </c>
      <c r="K28" s="45" t="s">
        <v>24</v>
      </c>
    </row>
    <row r="29" spans="1:13" ht="12.75">
      <c r="A29" s="32" t="s">
        <v>166</v>
      </c>
      <c r="B29" s="118">
        <v>140307.3</v>
      </c>
      <c r="C29" s="118">
        <v>16807.3</v>
      </c>
      <c r="D29" s="118">
        <v>10191.3</v>
      </c>
      <c r="E29" s="47">
        <f aca="true" t="shared" si="3" ref="E29:E37">B29+C29+D29</f>
        <v>167305.89999999997</v>
      </c>
      <c r="F29" s="32">
        <v>23.6</v>
      </c>
      <c r="G29" s="32">
        <v>0</v>
      </c>
      <c r="H29" s="32">
        <v>0</v>
      </c>
      <c r="I29" s="32">
        <f aca="true" t="shared" si="4" ref="I29:I36">F29+G29+H29</f>
        <v>23.6</v>
      </c>
      <c r="J29" s="34" t="s">
        <v>24</v>
      </c>
      <c r="K29" s="25" t="s">
        <v>24</v>
      </c>
      <c r="L29" s="12" t="s">
        <v>24</v>
      </c>
      <c r="M29" s="14" t="s">
        <v>24</v>
      </c>
    </row>
    <row r="30" spans="1:12" ht="12.75">
      <c r="A30" s="32" t="s">
        <v>29</v>
      </c>
      <c r="B30" s="118">
        <v>54308.5</v>
      </c>
      <c r="C30" s="118">
        <v>6907.5</v>
      </c>
      <c r="D30" s="118">
        <v>3699</v>
      </c>
      <c r="E30" s="47">
        <f t="shared" si="3"/>
        <v>64915</v>
      </c>
      <c r="F30" s="32">
        <v>23.6</v>
      </c>
      <c r="G30" s="32">
        <v>0</v>
      </c>
      <c r="H30" s="32">
        <v>0</v>
      </c>
      <c r="I30" s="32">
        <f t="shared" si="4"/>
        <v>23.6</v>
      </c>
      <c r="J30" s="50" t="s">
        <v>24</v>
      </c>
      <c r="K30" s="25" t="s">
        <v>24</v>
      </c>
      <c r="L30" s="12" t="s">
        <v>24</v>
      </c>
    </row>
    <row r="31" spans="1:12" ht="12.75">
      <c r="A31" s="32" t="s">
        <v>35</v>
      </c>
      <c r="B31" s="118">
        <v>24003.8</v>
      </c>
      <c r="C31" s="118">
        <v>5136</v>
      </c>
      <c r="D31" s="118">
        <v>1629.5</v>
      </c>
      <c r="E31" s="47">
        <f t="shared" si="3"/>
        <v>30769.3</v>
      </c>
      <c r="F31" s="32">
        <v>23.6</v>
      </c>
      <c r="G31" s="32">
        <v>0</v>
      </c>
      <c r="H31" s="32">
        <v>0</v>
      </c>
      <c r="I31" s="32">
        <f t="shared" si="4"/>
        <v>23.6</v>
      </c>
      <c r="J31" s="34" t="s">
        <v>24</v>
      </c>
      <c r="K31" s="25" t="s">
        <v>24</v>
      </c>
      <c r="L31" s="12" t="s">
        <v>24</v>
      </c>
    </row>
    <row r="32" spans="1:12" ht="12.75">
      <c r="A32" s="32" t="s">
        <v>5</v>
      </c>
      <c r="B32" s="118">
        <v>10272.4</v>
      </c>
      <c r="C32" s="118">
        <v>394.80000000000007</v>
      </c>
      <c r="D32" s="118">
        <v>727.4</v>
      </c>
      <c r="E32" s="47">
        <f t="shared" si="3"/>
        <v>11394.599999999999</v>
      </c>
      <c r="F32" s="32">
        <v>0</v>
      </c>
      <c r="G32" s="32">
        <v>0</v>
      </c>
      <c r="H32" s="32">
        <v>0</v>
      </c>
      <c r="I32" s="32">
        <f t="shared" si="4"/>
        <v>0</v>
      </c>
      <c r="J32" s="50" t="s">
        <v>24</v>
      </c>
      <c r="K32" s="25" t="s">
        <v>24</v>
      </c>
      <c r="L32" s="12" t="s">
        <v>24</v>
      </c>
    </row>
    <row r="33" spans="1:12" ht="12.75">
      <c r="A33" s="32" t="s">
        <v>8</v>
      </c>
      <c r="B33" s="118">
        <v>4986.6</v>
      </c>
      <c r="C33" s="118">
        <v>108.69999999999999</v>
      </c>
      <c r="D33" s="118">
        <v>359.7</v>
      </c>
      <c r="E33" s="47">
        <f t="shared" si="3"/>
        <v>5455</v>
      </c>
      <c r="F33" s="32">
        <v>23.6</v>
      </c>
      <c r="G33" s="32">
        <v>0</v>
      </c>
      <c r="H33" s="32">
        <v>0</v>
      </c>
      <c r="I33" s="32">
        <f t="shared" si="4"/>
        <v>23.6</v>
      </c>
      <c r="J33" s="34" t="s">
        <v>24</v>
      </c>
      <c r="K33" s="25" t="s">
        <v>24</v>
      </c>
      <c r="L33" s="12" t="s">
        <v>24</v>
      </c>
    </row>
    <row r="34" spans="1:12" ht="12.75">
      <c r="A34" s="32" t="s">
        <v>36</v>
      </c>
      <c r="B34" s="118">
        <v>2993.1000000000004</v>
      </c>
      <c r="C34" s="118">
        <v>44.69999999999999</v>
      </c>
      <c r="D34" s="118">
        <v>167.5</v>
      </c>
      <c r="E34" s="47">
        <f>B34+C34+D34</f>
        <v>3205.3</v>
      </c>
      <c r="F34" s="32">
        <v>23.6</v>
      </c>
      <c r="G34" s="32">
        <v>0</v>
      </c>
      <c r="H34" s="32">
        <v>0</v>
      </c>
      <c r="I34" s="32">
        <f t="shared" si="4"/>
        <v>23.6</v>
      </c>
      <c r="J34" s="34" t="s">
        <v>24</v>
      </c>
      <c r="K34" s="25" t="s">
        <v>24</v>
      </c>
      <c r="L34" s="12" t="s">
        <v>24</v>
      </c>
    </row>
    <row r="35" spans="1:15" ht="12.75">
      <c r="A35" s="32" t="s">
        <v>37</v>
      </c>
      <c r="B35" s="118">
        <v>1464.7</v>
      </c>
      <c r="C35" s="118">
        <v>42.70000000000002</v>
      </c>
      <c r="D35" s="118">
        <v>91.1</v>
      </c>
      <c r="E35" s="47">
        <f t="shared" si="3"/>
        <v>1598.5</v>
      </c>
      <c r="F35" s="32">
        <v>0</v>
      </c>
      <c r="G35" s="32">
        <v>0</v>
      </c>
      <c r="H35" s="32">
        <v>0</v>
      </c>
      <c r="I35" s="32">
        <f t="shared" si="4"/>
        <v>0</v>
      </c>
      <c r="J35" s="25" t="s">
        <v>24</v>
      </c>
      <c r="K35" s="25" t="s">
        <v>24</v>
      </c>
      <c r="L35" s="12" t="s">
        <v>32</v>
      </c>
      <c r="M35" s="4" t="s">
        <v>24</v>
      </c>
      <c r="N35" s="113" t="s">
        <v>24</v>
      </c>
      <c r="O35" s="113" t="s">
        <v>24</v>
      </c>
    </row>
    <row r="36" spans="1:15" ht="12.75">
      <c r="A36" s="24" t="s">
        <v>15</v>
      </c>
      <c r="B36" s="118">
        <v>5725.6</v>
      </c>
      <c r="C36" s="118">
        <v>48.299999999999955</v>
      </c>
      <c r="D36" s="118">
        <v>474.5</v>
      </c>
      <c r="E36" s="47">
        <f t="shared" si="3"/>
        <v>6248.400000000001</v>
      </c>
      <c r="F36" s="32">
        <v>0</v>
      </c>
      <c r="G36" s="32">
        <v>0</v>
      </c>
      <c r="H36" s="32">
        <v>0</v>
      </c>
      <c r="I36" s="32">
        <f t="shared" si="4"/>
        <v>0</v>
      </c>
      <c r="J36" s="50" t="s">
        <v>24</v>
      </c>
      <c r="K36" s="25" t="s">
        <v>24</v>
      </c>
      <c r="L36" s="12" t="s">
        <v>24</v>
      </c>
      <c r="O36" s="4" t="s">
        <v>24</v>
      </c>
    </row>
    <row r="37" spans="1:12" ht="12.75">
      <c r="A37" s="24" t="s">
        <v>45</v>
      </c>
      <c r="B37" s="118">
        <v>8804</v>
      </c>
      <c r="C37" s="118">
        <v>695.3</v>
      </c>
      <c r="D37" s="118">
        <v>791.8</v>
      </c>
      <c r="E37" s="47">
        <f t="shared" si="3"/>
        <v>10291.099999999999</v>
      </c>
      <c r="F37" s="32">
        <v>0</v>
      </c>
      <c r="G37" s="32">
        <v>0</v>
      </c>
      <c r="H37" s="32">
        <v>0</v>
      </c>
      <c r="I37" s="32">
        <f>F37+G37+H37</f>
        <v>0</v>
      </c>
      <c r="J37" s="50" t="s">
        <v>24</v>
      </c>
      <c r="K37" s="25" t="s">
        <v>24</v>
      </c>
      <c r="L37" s="12" t="s">
        <v>24</v>
      </c>
    </row>
    <row r="38" spans="1:12" ht="12.75">
      <c r="A38" s="24" t="s">
        <v>127</v>
      </c>
      <c r="B38" s="118">
        <v>1821.9</v>
      </c>
      <c r="C38" s="300">
        <v>0</v>
      </c>
      <c r="D38" s="118">
        <v>267.1</v>
      </c>
      <c r="E38" s="47">
        <f>B38+C38+D38</f>
        <v>2089</v>
      </c>
      <c r="F38" s="32">
        <v>0</v>
      </c>
      <c r="G38" s="32">
        <v>0</v>
      </c>
      <c r="H38" s="32">
        <v>0</v>
      </c>
      <c r="I38" s="32">
        <f>F38+G38+H38</f>
        <v>0</v>
      </c>
      <c r="J38" s="34" t="s">
        <v>24</v>
      </c>
      <c r="K38" s="25" t="s">
        <v>24</v>
      </c>
      <c r="L38" s="12" t="s">
        <v>24</v>
      </c>
    </row>
    <row r="39" spans="1:12" ht="12.75">
      <c r="A39" s="24" t="s">
        <v>20</v>
      </c>
      <c r="B39" s="118">
        <v>19809.9</v>
      </c>
      <c r="C39" s="118">
        <v>1216.3</v>
      </c>
      <c r="D39" s="118">
        <v>1945.2</v>
      </c>
      <c r="E39" s="48">
        <f>B39+C39+D39</f>
        <v>22971.4</v>
      </c>
      <c r="F39" s="32">
        <v>0</v>
      </c>
      <c r="G39" s="32">
        <v>0</v>
      </c>
      <c r="H39" s="32">
        <v>0</v>
      </c>
      <c r="I39" s="32">
        <f>F39+G39+H39</f>
        <v>0</v>
      </c>
      <c r="J39" s="34" t="s">
        <v>24</v>
      </c>
      <c r="K39" s="25" t="s">
        <v>24</v>
      </c>
      <c r="L39" s="12" t="s">
        <v>24</v>
      </c>
    </row>
    <row r="40" spans="1:12" ht="12.75">
      <c r="A40" s="24" t="s">
        <v>11</v>
      </c>
      <c r="B40" s="118">
        <v>2140.1</v>
      </c>
      <c r="C40" s="118">
        <v>346.5</v>
      </c>
      <c r="D40" s="118">
        <v>252.9</v>
      </c>
      <c r="E40" s="48">
        <f>B40+C40+D40</f>
        <v>2739.5</v>
      </c>
      <c r="F40" s="32">
        <v>0</v>
      </c>
      <c r="G40" s="32">
        <v>0</v>
      </c>
      <c r="H40" s="32">
        <v>0</v>
      </c>
      <c r="I40" s="32">
        <f>F40+G40+H40</f>
        <v>0</v>
      </c>
      <c r="J40" s="34" t="s">
        <v>24</v>
      </c>
      <c r="K40" s="25" t="s">
        <v>24</v>
      </c>
      <c r="L40" s="12" t="s">
        <v>32</v>
      </c>
    </row>
    <row r="41" spans="1:12" ht="12.75">
      <c r="A41" s="24" t="s">
        <v>10</v>
      </c>
      <c r="B41" s="118">
        <v>8216.6</v>
      </c>
      <c r="C41" s="118">
        <v>729.1</v>
      </c>
      <c r="D41" s="118">
        <v>703.9</v>
      </c>
      <c r="E41" s="48">
        <f>B41+C41+D41</f>
        <v>9649.6</v>
      </c>
      <c r="F41" s="32">
        <v>0</v>
      </c>
      <c r="G41" s="32">
        <v>0</v>
      </c>
      <c r="H41" s="32">
        <v>0</v>
      </c>
      <c r="I41" s="32">
        <f>F41+G41+H41</f>
        <v>0</v>
      </c>
      <c r="J41" s="34" t="s">
        <v>24</v>
      </c>
      <c r="K41" s="25" t="s">
        <v>24</v>
      </c>
      <c r="L41" s="12" t="s">
        <v>24</v>
      </c>
    </row>
    <row r="42" spans="1:11" ht="12.75">
      <c r="A42" s="24" t="s">
        <v>142</v>
      </c>
      <c r="B42" s="263">
        <v>0</v>
      </c>
      <c r="C42" s="263">
        <v>0</v>
      </c>
      <c r="D42" s="263" t="s">
        <v>147</v>
      </c>
      <c r="E42" s="49">
        <f>B42+C42</f>
        <v>0</v>
      </c>
      <c r="F42" s="49">
        <v>0</v>
      </c>
      <c r="G42" s="49">
        <v>0</v>
      </c>
      <c r="H42" s="49">
        <v>0</v>
      </c>
      <c r="I42" s="49">
        <f>F42</f>
        <v>0</v>
      </c>
      <c r="J42" s="34"/>
      <c r="K42"/>
    </row>
    <row r="43" spans="1:11" ht="12.75">
      <c r="A43" s="24" t="s">
        <v>143</v>
      </c>
      <c r="B43" s="263">
        <v>0</v>
      </c>
      <c r="C43" s="263">
        <v>0</v>
      </c>
      <c r="D43" s="263" t="s">
        <v>147</v>
      </c>
      <c r="E43" s="49">
        <f>B43+C43</f>
        <v>0</v>
      </c>
      <c r="F43" s="49">
        <v>0</v>
      </c>
      <c r="G43" s="49">
        <v>0</v>
      </c>
      <c r="H43" s="49">
        <v>0</v>
      </c>
      <c r="I43" s="49">
        <f>F43</f>
        <v>0</v>
      </c>
      <c r="J43" s="34"/>
      <c r="K43"/>
    </row>
    <row r="44" spans="1:11" ht="12.75">
      <c r="A44" s="24" t="s">
        <v>144</v>
      </c>
      <c r="B44" s="263">
        <v>0</v>
      </c>
      <c r="C44" s="263">
        <v>0</v>
      </c>
      <c r="D44" s="263" t="s">
        <v>147</v>
      </c>
      <c r="E44" s="49">
        <f>B44+C44</f>
        <v>0</v>
      </c>
      <c r="F44" s="49">
        <v>0</v>
      </c>
      <c r="G44" s="49">
        <v>0</v>
      </c>
      <c r="H44" s="49">
        <v>0</v>
      </c>
      <c r="I44" s="49">
        <f>F44</f>
        <v>0</v>
      </c>
      <c r="J44" s="34"/>
      <c r="K44"/>
    </row>
    <row r="45" spans="1:11" ht="12.75">
      <c r="A45" s="24" t="s">
        <v>145</v>
      </c>
      <c r="B45" s="263">
        <v>0</v>
      </c>
      <c r="C45" s="263">
        <v>0</v>
      </c>
      <c r="D45" s="263" t="s">
        <v>147</v>
      </c>
      <c r="E45" s="49">
        <f>B45+C45</f>
        <v>0</v>
      </c>
      <c r="F45" s="49">
        <v>0</v>
      </c>
      <c r="G45" s="49">
        <v>0</v>
      </c>
      <c r="H45" s="49">
        <v>0</v>
      </c>
      <c r="I45" s="49">
        <f>F45</f>
        <v>0</v>
      </c>
      <c r="J45" s="50" t="s">
        <v>24</v>
      </c>
      <c r="K45"/>
    </row>
    <row r="46" spans="1:11" ht="12.75">
      <c r="A46" s="24" t="s">
        <v>146</v>
      </c>
      <c r="B46" s="263">
        <v>0</v>
      </c>
      <c r="C46" s="263">
        <v>0</v>
      </c>
      <c r="D46" s="263" t="s">
        <v>147</v>
      </c>
      <c r="E46" s="49">
        <f>B46+C46</f>
        <v>0</v>
      </c>
      <c r="F46" s="49">
        <v>0</v>
      </c>
      <c r="G46" s="49">
        <v>0</v>
      </c>
      <c r="H46" s="49">
        <v>0</v>
      </c>
      <c r="I46" s="49">
        <f>F46</f>
        <v>0</v>
      </c>
      <c r="J46" s="34"/>
      <c r="K46"/>
    </row>
    <row r="47" spans="1:11" ht="12.75">
      <c r="A47" s="628" t="s">
        <v>167</v>
      </c>
      <c r="B47" s="628"/>
      <c r="C47" s="628"/>
      <c r="D47" s="628"/>
      <c r="E47" s="628"/>
      <c r="F47" s="628"/>
      <c r="G47" s="628"/>
      <c r="H47" s="628"/>
      <c r="I47" s="628"/>
      <c r="J47" s="34"/>
      <c r="K47"/>
    </row>
    <row r="48" spans="1:11" ht="12.75">
      <c r="A48" s="25"/>
      <c r="B48" s="36"/>
      <c r="C48" s="36"/>
      <c r="D48" s="36"/>
      <c r="E48" s="40"/>
      <c r="F48" s="41"/>
      <c r="G48" s="41"/>
      <c r="H48" s="41"/>
      <c r="I48" s="42"/>
      <c r="J48" s="42"/>
      <c r="K48"/>
    </row>
    <row r="49" spans="1:11" ht="15.75">
      <c r="A49" s="623" t="s">
        <v>57</v>
      </c>
      <c r="B49" s="624"/>
      <c r="C49" s="36"/>
      <c r="D49" s="36"/>
      <c r="E49" s="40"/>
      <c r="F49" s="41"/>
      <c r="G49" s="41"/>
      <c r="H49" s="41"/>
      <c r="I49" s="42"/>
      <c r="J49" s="42"/>
      <c r="K49"/>
    </row>
    <row r="50" spans="1:11" ht="60" customHeight="1">
      <c r="A50" s="227" t="s">
        <v>151</v>
      </c>
      <c r="B50" s="203" t="s">
        <v>172</v>
      </c>
      <c r="C50" s="203" t="s">
        <v>173</v>
      </c>
      <c r="D50" s="203" t="s">
        <v>212</v>
      </c>
      <c r="E50" s="203" t="s">
        <v>53</v>
      </c>
      <c r="F50" s="227" t="s">
        <v>178</v>
      </c>
      <c r="G50" s="227" t="s">
        <v>180</v>
      </c>
      <c r="H50" s="227" t="s">
        <v>214</v>
      </c>
      <c r="I50" s="227" t="s">
        <v>56</v>
      </c>
      <c r="J50" s="23"/>
      <c r="K50"/>
    </row>
    <row r="51" spans="1:11" ht="12.75">
      <c r="A51" s="32" t="s">
        <v>46</v>
      </c>
      <c r="B51" s="52">
        <f>B29-B30-B37-B39</f>
        <v>57384.89999999999</v>
      </c>
      <c r="C51" s="52">
        <f>C29-C30-C37-C39</f>
        <v>7988.2</v>
      </c>
      <c r="D51" s="52">
        <f>D29-D30-D37-D39</f>
        <v>3755.2999999999993</v>
      </c>
      <c r="E51" s="53">
        <f>B51+C51+D51</f>
        <v>69128.39999999998</v>
      </c>
      <c r="F51" s="54">
        <f>B51*D5</f>
        <v>5738489.999999999</v>
      </c>
      <c r="G51" s="54">
        <f aca="true" t="shared" si="5" ref="G51:G63">C51*F5</f>
        <v>639056</v>
      </c>
      <c r="H51" s="54">
        <f>D51*H5</f>
        <v>300423.99999999994</v>
      </c>
      <c r="I51" s="54">
        <f>F51+G51+H51</f>
        <v>6677969.999999999</v>
      </c>
      <c r="J51" s="23"/>
      <c r="K51"/>
    </row>
    <row r="52" spans="1:11" ht="12.75">
      <c r="A52" s="32" t="s">
        <v>49</v>
      </c>
      <c r="B52" s="52">
        <f>B30-B31-B32-B41</f>
        <v>11815.700000000003</v>
      </c>
      <c r="C52" s="52">
        <f>C30-C31-C32-C41</f>
        <v>647.5999999999998</v>
      </c>
      <c r="D52" s="52">
        <f>D30-D31-D32-D41</f>
        <v>638.1999999999999</v>
      </c>
      <c r="E52" s="53">
        <f>B52+C52+D52</f>
        <v>13101.500000000004</v>
      </c>
      <c r="F52" s="54">
        <f aca="true" t="shared" si="6" ref="F52:F62">B52*D6</f>
        <v>1181570.0000000002</v>
      </c>
      <c r="G52" s="54">
        <f t="shared" si="5"/>
        <v>51807.999999999985</v>
      </c>
      <c r="H52" s="54">
        <f aca="true" t="shared" si="7" ref="H52:H63">D52*H6</f>
        <v>51055.99999999999</v>
      </c>
      <c r="I52" s="54">
        <f>F52+G52+H52</f>
        <v>1284434.0000000002</v>
      </c>
      <c r="J52" s="23"/>
      <c r="K52"/>
    </row>
    <row r="53" spans="1:11" ht="12.75">
      <c r="A53" s="32" t="s">
        <v>48</v>
      </c>
      <c r="B53" s="52">
        <f>B31-B33-B35</f>
        <v>17552.499999999996</v>
      </c>
      <c r="C53" s="52">
        <f>C31-C33-C35</f>
        <v>4984.6</v>
      </c>
      <c r="D53" s="52">
        <f>D31-D33-D35</f>
        <v>1178.7</v>
      </c>
      <c r="E53" s="53">
        <f>B53+C53+D53</f>
        <v>23715.8</v>
      </c>
      <c r="F53" s="54">
        <f t="shared" si="6"/>
        <v>2102262.9249999993</v>
      </c>
      <c r="G53" s="54">
        <f t="shared" si="5"/>
        <v>497313.542</v>
      </c>
      <c r="H53" s="54">
        <f t="shared" si="7"/>
        <v>117598.899</v>
      </c>
      <c r="I53" s="54">
        <f aca="true" t="shared" si="8" ref="I53:I63">F53+G53+H53</f>
        <v>2717175.3659999995</v>
      </c>
      <c r="J53" s="23"/>
      <c r="K53"/>
    </row>
    <row r="54" spans="1:11" ht="12.75">
      <c r="A54" s="32" t="s">
        <v>47</v>
      </c>
      <c r="B54" s="52">
        <f>B32-B36-B40</f>
        <v>2406.6999999999994</v>
      </c>
      <c r="C54" s="52">
        <f>C32-C36-C40</f>
        <v>0</v>
      </c>
      <c r="D54" s="52">
        <f>D32-D36-D40</f>
        <v>0</v>
      </c>
      <c r="E54" s="53">
        <f>B54+C54+D54</f>
        <v>2406.6999999999994</v>
      </c>
      <c r="F54" s="54">
        <f t="shared" si="6"/>
        <v>240669.99999999994</v>
      </c>
      <c r="G54" s="54">
        <f t="shared" si="5"/>
        <v>0</v>
      </c>
      <c r="H54" s="54">
        <f t="shared" si="7"/>
        <v>0</v>
      </c>
      <c r="I54" s="54">
        <f t="shared" si="8"/>
        <v>240669.99999999994</v>
      </c>
      <c r="J54" s="23"/>
      <c r="K54"/>
    </row>
    <row r="55" spans="1:11" ht="12.75">
      <c r="A55" s="32" t="s">
        <v>39</v>
      </c>
      <c r="B55" s="52">
        <f>B33-B34</f>
        <v>1993.5</v>
      </c>
      <c r="C55" s="52">
        <f>C33-C34</f>
        <v>64</v>
      </c>
      <c r="D55" s="52">
        <f>D33-D34</f>
        <v>192.2</v>
      </c>
      <c r="E55" s="53">
        <f>B55+C55+D55</f>
        <v>2249.7</v>
      </c>
      <c r="F55" s="54">
        <f t="shared" si="6"/>
        <v>238761.495</v>
      </c>
      <c r="G55" s="54">
        <f t="shared" si="5"/>
        <v>6385.28</v>
      </c>
      <c r="H55" s="54">
        <f t="shared" si="7"/>
        <v>19175.793999999998</v>
      </c>
      <c r="I55" s="54">
        <f t="shared" si="8"/>
        <v>264322.569</v>
      </c>
      <c r="J55" s="23"/>
      <c r="K55"/>
    </row>
    <row r="56" spans="1:11" ht="12.75">
      <c r="A56" s="32" t="s">
        <v>36</v>
      </c>
      <c r="B56" s="52">
        <f aca="true" t="shared" si="9" ref="B56:D58">B34</f>
        <v>2993.1000000000004</v>
      </c>
      <c r="C56" s="52">
        <f t="shared" si="9"/>
        <v>44.69999999999999</v>
      </c>
      <c r="D56" s="52">
        <f t="shared" si="9"/>
        <v>167.5</v>
      </c>
      <c r="E56" s="53">
        <f aca="true" t="shared" si="10" ref="E56:E63">B56+C56+D56</f>
        <v>3205.3</v>
      </c>
      <c r="F56" s="54">
        <f t="shared" si="6"/>
        <v>358483.58700000006</v>
      </c>
      <c r="G56" s="54">
        <f t="shared" si="5"/>
        <v>4459.718999999999</v>
      </c>
      <c r="H56" s="54">
        <f t="shared" si="7"/>
        <v>16711.475</v>
      </c>
      <c r="I56" s="54">
        <f t="shared" si="8"/>
        <v>379654.781</v>
      </c>
      <c r="J56" s="23"/>
      <c r="K56"/>
    </row>
    <row r="57" spans="1:11" ht="12.75">
      <c r="A57" s="32" t="s">
        <v>37</v>
      </c>
      <c r="B57" s="52">
        <f t="shared" si="9"/>
        <v>1464.7</v>
      </c>
      <c r="C57" s="52">
        <f t="shared" si="9"/>
        <v>42.70000000000002</v>
      </c>
      <c r="D57" s="52">
        <f t="shared" si="9"/>
        <v>91.1</v>
      </c>
      <c r="E57" s="53">
        <f t="shared" si="10"/>
        <v>1598.5</v>
      </c>
      <c r="F57" s="54">
        <f t="shared" si="6"/>
        <v>175427.119</v>
      </c>
      <c r="G57" s="54">
        <f>C57*F11</f>
        <v>4260.179000000002</v>
      </c>
      <c r="H57" s="54">
        <f t="shared" si="7"/>
        <v>9089.046999999999</v>
      </c>
      <c r="I57" s="54">
        <f t="shared" si="8"/>
        <v>188776.345</v>
      </c>
      <c r="J57" s="23"/>
      <c r="K57"/>
    </row>
    <row r="58" spans="1:11" ht="12.75">
      <c r="A58" s="32" t="s">
        <v>15</v>
      </c>
      <c r="B58" s="52">
        <f t="shared" si="9"/>
        <v>5725.6</v>
      </c>
      <c r="C58" s="52">
        <f t="shared" si="9"/>
        <v>48.299999999999955</v>
      </c>
      <c r="D58" s="52">
        <f t="shared" si="9"/>
        <v>474.5</v>
      </c>
      <c r="E58" s="53">
        <f t="shared" si="10"/>
        <v>6248.400000000001</v>
      </c>
      <c r="F58" s="54">
        <f t="shared" si="6"/>
        <v>572560</v>
      </c>
      <c r="G58" s="54">
        <f t="shared" si="5"/>
        <v>3863.9999999999964</v>
      </c>
      <c r="H58" s="54">
        <f t="shared" si="7"/>
        <v>4.7450000000024275</v>
      </c>
      <c r="I58" s="54">
        <f t="shared" si="8"/>
        <v>576428.745</v>
      </c>
      <c r="J58" s="23"/>
      <c r="K58"/>
    </row>
    <row r="59" spans="1:11" ht="12.75">
      <c r="A59" s="32" t="s">
        <v>128</v>
      </c>
      <c r="B59" s="52">
        <f>B37-B38</f>
        <v>6982.1</v>
      </c>
      <c r="C59" s="52">
        <f>C37-C38</f>
        <v>695.3</v>
      </c>
      <c r="D59" s="52">
        <f>D37-D38</f>
        <v>524.6999999999999</v>
      </c>
      <c r="E59" s="53">
        <f t="shared" si="10"/>
        <v>8202.1</v>
      </c>
      <c r="F59" s="54">
        <f t="shared" si="6"/>
        <v>698210</v>
      </c>
      <c r="G59" s="54">
        <f t="shared" si="5"/>
        <v>55624</v>
      </c>
      <c r="H59" s="54">
        <f t="shared" si="7"/>
        <v>41975.99999999999</v>
      </c>
      <c r="I59" s="54">
        <f t="shared" si="8"/>
        <v>795810</v>
      </c>
      <c r="J59" s="56" t="s">
        <v>24</v>
      </c>
      <c r="K59"/>
    </row>
    <row r="60" spans="1:11" ht="12.75">
      <c r="A60" s="24" t="s">
        <v>127</v>
      </c>
      <c r="B60" s="52">
        <f aca="true" t="shared" si="11" ref="B60:D68">B38</f>
        <v>1821.9</v>
      </c>
      <c r="C60" s="52">
        <f t="shared" si="11"/>
        <v>0</v>
      </c>
      <c r="D60" s="52">
        <f t="shared" si="11"/>
        <v>267.1</v>
      </c>
      <c r="E60" s="53">
        <f t="shared" si="10"/>
        <v>2089</v>
      </c>
      <c r="F60" s="54">
        <f t="shared" si="6"/>
        <v>182190</v>
      </c>
      <c r="G60" s="54">
        <f t="shared" si="5"/>
        <v>0</v>
      </c>
      <c r="H60" s="54">
        <f t="shared" si="7"/>
        <v>21368</v>
      </c>
      <c r="I60" s="54">
        <f t="shared" si="8"/>
        <v>203558</v>
      </c>
      <c r="J60" s="23"/>
      <c r="K60"/>
    </row>
    <row r="61" spans="1:11" ht="12.75">
      <c r="A61" s="24" t="s">
        <v>20</v>
      </c>
      <c r="B61" s="52">
        <f t="shared" si="11"/>
        <v>19809.9</v>
      </c>
      <c r="C61" s="52">
        <f t="shared" si="11"/>
        <v>1216.3</v>
      </c>
      <c r="D61" s="52">
        <f t="shared" si="11"/>
        <v>1945.2</v>
      </c>
      <c r="E61" s="53">
        <f t="shared" si="10"/>
        <v>22971.4</v>
      </c>
      <c r="F61" s="54">
        <f t="shared" si="6"/>
        <v>4016853.423</v>
      </c>
      <c r="G61" s="54">
        <f t="shared" si="5"/>
        <v>222303.15099999998</v>
      </c>
      <c r="H61" s="54">
        <f t="shared" si="7"/>
        <v>355524.20399999997</v>
      </c>
      <c r="I61" s="54">
        <f t="shared" si="8"/>
        <v>4594680.778</v>
      </c>
      <c r="J61" s="23"/>
      <c r="K61"/>
    </row>
    <row r="62" spans="1:11" ht="12.75">
      <c r="A62" s="24" t="s">
        <v>11</v>
      </c>
      <c r="B62" s="52">
        <f t="shared" si="11"/>
        <v>2140.1</v>
      </c>
      <c r="C62" s="52">
        <f t="shared" si="11"/>
        <v>346.5</v>
      </c>
      <c r="D62" s="52">
        <f t="shared" si="11"/>
        <v>252.9</v>
      </c>
      <c r="E62" s="53">
        <f t="shared" si="10"/>
        <v>2739.5</v>
      </c>
      <c r="F62" s="54">
        <f t="shared" si="6"/>
        <v>214652.03</v>
      </c>
      <c r="G62" s="54">
        <f t="shared" si="5"/>
        <v>27823.95</v>
      </c>
      <c r="H62" s="54">
        <f t="shared" si="7"/>
        <v>20307.87</v>
      </c>
      <c r="I62" s="54">
        <f t="shared" si="8"/>
        <v>262783.85000000003</v>
      </c>
      <c r="J62" s="23"/>
      <c r="K62"/>
    </row>
    <row r="63" spans="1:11" ht="12.75">
      <c r="A63" s="24" t="s">
        <v>10</v>
      </c>
      <c r="B63" s="52">
        <f t="shared" si="11"/>
        <v>8216.6</v>
      </c>
      <c r="C63" s="52">
        <f t="shared" si="11"/>
        <v>729.1</v>
      </c>
      <c r="D63" s="52">
        <f t="shared" si="11"/>
        <v>703.9</v>
      </c>
      <c r="E63" s="53">
        <f t="shared" si="10"/>
        <v>9649.6</v>
      </c>
      <c r="F63" s="54">
        <f>B63*D17</f>
        <v>821660</v>
      </c>
      <c r="G63" s="54">
        <f t="shared" si="5"/>
        <v>58328</v>
      </c>
      <c r="H63" s="54">
        <f t="shared" si="7"/>
        <v>56312</v>
      </c>
      <c r="I63" s="54">
        <f t="shared" si="8"/>
        <v>936300</v>
      </c>
      <c r="J63" s="23"/>
      <c r="K63"/>
    </row>
    <row r="64" spans="1:11" ht="12.75">
      <c r="A64" s="24" t="s">
        <v>142</v>
      </c>
      <c r="B64" s="52">
        <f t="shared" si="11"/>
        <v>0</v>
      </c>
      <c r="C64" s="52">
        <f t="shared" si="11"/>
        <v>0</v>
      </c>
      <c r="D64" s="52" t="str">
        <f t="shared" si="11"/>
        <v>NA</v>
      </c>
      <c r="E64" s="53">
        <f>B64+C64</f>
        <v>0</v>
      </c>
      <c r="F64" s="54">
        <v>0</v>
      </c>
      <c r="G64" s="54">
        <v>0</v>
      </c>
      <c r="H64" s="205" t="s">
        <v>147</v>
      </c>
      <c r="I64" s="54">
        <f>F64+G64</f>
        <v>0</v>
      </c>
      <c r="J64" s="23"/>
      <c r="K64"/>
    </row>
    <row r="65" spans="1:11" ht="12.75">
      <c r="A65" s="24" t="s">
        <v>143</v>
      </c>
      <c r="B65" s="52">
        <f t="shared" si="11"/>
        <v>0</v>
      </c>
      <c r="C65" s="52">
        <f t="shared" si="11"/>
        <v>0</v>
      </c>
      <c r="D65" s="52" t="str">
        <f t="shared" si="11"/>
        <v>NA</v>
      </c>
      <c r="E65" s="53">
        <f>B65+C65</f>
        <v>0</v>
      </c>
      <c r="F65" s="54">
        <v>0</v>
      </c>
      <c r="G65" s="54">
        <v>0</v>
      </c>
      <c r="H65" s="205" t="s">
        <v>147</v>
      </c>
      <c r="I65" s="54">
        <f>F65+G65</f>
        <v>0</v>
      </c>
      <c r="J65" s="23"/>
      <c r="K65"/>
    </row>
    <row r="66" spans="1:11" ht="12.75">
      <c r="A66" s="24" t="s">
        <v>144</v>
      </c>
      <c r="B66" s="52">
        <f t="shared" si="11"/>
        <v>0</v>
      </c>
      <c r="C66" s="52">
        <f t="shared" si="11"/>
        <v>0</v>
      </c>
      <c r="D66" s="52" t="str">
        <f t="shared" si="11"/>
        <v>NA</v>
      </c>
      <c r="E66" s="53">
        <f>B66+C66</f>
        <v>0</v>
      </c>
      <c r="F66" s="54">
        <v>0</v>
      </c>
      <c r="G66" s="54">
        <v>0</v>
      </c>
      <c r="H66" s="205" t="s">
        <v>147</v>
      </c>
      <c r="I66" s="54">
        <f>F66+G66</f>
        <v>0</v>
      </c>
      <c r="J66" s="23"/>
      <c r="K66"/>
    </row>
    <row r="67" spans="1:11" ht="12.75">
      <c r="A67" s="24" t="s">
        <v>145</v>
      </c>
      <c r="B67" s="52">
        <f t="shared" si="11"/>
        <v>0</v>
      </c>
      <c r="C67" s="52">
        <f t="shared" si="11"/>
        <v>0</v>
      </c>
      <c r="D67" s="52" t="str">
        <f t="shared" si="11"/>
        <v>NA</v>
      </c>
      <c r="E67" s="53">
        <f>B67+C67</f>
        <v>0</v>
      </c>
      <c r="F67" s="54">
        <v>0</v>
      </c>
      <c r="G67" s="54">
        <v>0</v>
      </c>
      <c r="H67" s="205" t="s">
        <v>147</v>
      </c>
      <c r="I67" s="54">
        <f>F67+G67</f>
        <v>0</v>
      </c>
      <c r="J67" s="23"/>
      <c r="K67"/>
    </row>
    <row r="68" spans="1:11" ht="12.75">
      <c r="A68" s="24" t="s">
        <v>146</v>
      </c>
      <c r="B68" s="52">
        <f t="shared" si="11"/>
        <v>0</v>
      </c>
      <c r="C68" s="52">
        <f t="shared" si="11"/>
        <v>0</v>
      </c>
      <c r="D68" s="52" t="str">
        <f t="shared" si="11"/>
        <v>NA</v>
      </c>
      <c r="E68" s="53">
        <f>B68+C68</f>
        <v>0</v>
      </c>
      <c r="F68" s="54">
        <v>0</v>
      </c>
      <c r="G68" s="54">
        <v>0</v>
      </c>
      <c r="H68" s="205" t="s">
        <v>147</v>
      </c>
      <c r="I68" s="54">
        <f>F68+G68</f>
        <v>0</v>
      </c>
      <c r="J68" s="23"/>
      <c r="K68"/>
    </row>
    <row r="69" spans="1:10" ht="12.75">
      <c r="A69" s="74" t="s">
        <v>50</v>
      </c>
      <c r="B69" s="58">
        <f aca="true" t="shared" si="12" ref="B69:G69">SUM(B51:B68)</f>
        <v>140307.30000000002</v>
      </c>
      <c r="C69" s="58">
        <f t="shared" si="12"/>
        <v>16807.3</v>
      </c>
      <c r="D69" s="58">
        <f t="shared" si="12"/>
        <v>10191.3</v>
      </c>
      <c r="E69" s="58">
        <f t="shared" si="12"/>
        <v>167305.89999999997</v>
      </c>
      <c r="F69" s="44">
        <f t="shared" si="12"/>
        <v>16541790.578999998</v>
      </c>
      <c r="G69" s="44">
        <f t="shared" si="12"/>
        <v>1571225.821</v>
      </c>
      <c r="H69" s="44">
        <f>SUM(H51:H63)</f>
        <v>1009548.0339999999</v>
      </c>
      <c r="I69" s="44">
        <f>SUM(I51:I68)</f>
        <v>19122564.434</v>
      </c>
      <c r="J69" s="56" t="s">
        <v>24</v>
      </c>
    </row>
    <row r="70" spans="1:10" ht="12.75">
      <c r="A70" s="34"/>
      <c r="B70" s="59"/>
      <c r="C70" s="59"/>
      <c r="D70" s="59"/>
      <c r="E70" s="60"/>
      <c r="F70" s="39" t="s">
        <v>24</v>
      </c>
      <c r="G70" s="36"/>
      <c r="H70" s="36"/>
      <c r="I70" s="38"/>
      <c r="J70" s="59"/>
    </row>
    <row r="71" spans="1:10" ht="15.75">
      <c r="A71" s="625" t="s">
        <v>152</v>
      </c>
      <c r="B71" s="626"/>
      <c r="C71" s="59"/>
      <c r="D71" s="59"/>
      <c r="E71" s="61"/>
      <c r="F71" s="36"/>
      <c r="G71" s="36"/>
      <c r="H71" s="36"/>
      <c r="I71" s="38"/>
      <c r="J71" s="59"/>
    </row>
    <row r="72" spans="1:10" ht="60" customHeight="1">
      <c r="A72" s="227" t="s">
        <v>151</v>
      </c>
      <c r="B72" s="203" t="s">
        <v>174</v>
      </c>
      <c r="C72" s="203" t="s">
        <v>179</v>
      </c>
      <c r="D72" s="203" t="s">
        <v>213</v>
      </c>
      <c r="E72" s="229" t="s">
        <v>84</v>
      </c>
      <c r="F72" s="229" t="s">
        <v>181</v>
      </c>
      <c r="G72" s="229" t="s">
        <v>182</v>
      </c>
      <c r="H72" s="229" t="s">
        <v>215</v>
      </c>
      <c r="I72" s="230" t="s">
        <v>158</v>
      </c>
      <c r="J72" s="229" t="s">
        <v>159</v>
      </c>
    </row>
    <row r="73" spans="1:10" ht="12.75">
      <c r="A73" s="32" t="s">
        <v>46</v>
      </c>
      <c r="B73" s="52">
        <f>F29-F30-F37-F39</f>
        <v>0</v>
      </c>
      <c r="C73" s="52">
        <f>G29-G30-G37-G39</f>
        <v>0</v>
      </c>
      <c r="D73" s="52">
        <f>H29-H30-H37-H39</f>
        <v>0</v>
      </c>
      <c r="E73" s="53">
        <f aca="true" t="shared" si="13" ref="E73:E79">B73+C73+D73</f>
        <v>0</v>
      </c>
      <c r="F73" s="33">
        <f aca="true" t="shared" si="14" ref="F73:F85">B73*D5</f>
        <v>0</v>
      </c>
      <c r="G73" s="33">
        <f aca="true" t="shared" si="15" ref="G73:G85">C73*F5</f>
        <v>0</v>
      </c>
      <c r="H73" s="33">
        <f aca="true" t="shared" si="16" ref="H73:H85">D73*H5</f>
        <v>0</v>
      </c>
      <c r="I73" s="33">
        <v>0</v>
      </c>
      <c r="J73" s="54">
        <f aca="true" t="shared" si="17" ref="J73:J85">F73+G73+H73+I73</f>
        <v>0</v>
      </c>
    </row>
    <row r="74" spans="1:10" ht="12.75">
      <c r="A74" s="32" t="s">
        <v>49</v>
      </c>
      <c r="B74" s="52">
        <f>F30-F31-F32-F41</f>
        <v>0</v>
      </c>
      <c r="C74" s="52">
        <f>G30-G31-G32-G41</f>
        <v>0</v>
      </c>
      <c r="D74" s="52">
        <f>H30-H31-H32-H41</f>
        <v>0</v>
      </c>
      <c r="E74" s="53">
        <f t="shared" si="13"/>
        <v>0</v>
      </c>
      <c r="F74" s="33">
        <f t="shared" si="14"/>
        <v>0</v>
      </c>
      <c r="G74" s="33">
        <f t="shared" si="15"/>
        <v>0</v>
      </c>
      <c r="H74" s="33">
        <f t="shared" si="16"/>
        <v>0</v>
      </c>
      <c r="I74" s="33">
        <v>0</v>
      </c>
      <c r="J74" s="54">
        <f t="shared" si="17"/>
        <v>0</v>
      </c>
    </row>
    <row r="75" spans="1:10" ht="12.75">
      <c r="A75" s="32" t="s">
        <v>48</v>
      </c>
      <c r="B75" s="52">
        <f>F31-F33-F35</f>
        <v>0</v>
      </c>
      <c r="C75" s="52">
        <f>G31-G33-G35</f>
        <v>0</v>
      </c>
      <c r="D75" s="52">
        <f>H31-H33-H35</f>
        <v>0</v>
      </c>
      <c r="E75" s="53">
        <f t="shared" si="13"/>
        <v>0</v>
      </c>
      <c r="F75" s="33">
        <f t="shared" si="14"/>
        <v>0</v>
      </c>
      <c r="G75" s="33">
        <f t="shared" si="15"/>
        <v>0</v>
      </c>
      <c r="H75" s="33">
        <f t="shared" si="16"/>
        <v>0</v>
      </c>
      <c r="I75" s="33">
        <v>0</v>
      </c>
      <c r="J75" s="54">
        <f t="shared" si="17"/>
        <v>0</v>
      </c>
    </row>
    <row r="76" spans="1:10" ht="12.75">
      <c r="A76" s="32" t="s">
        <v>47</v>
      </c>
      <c r="B76" s="52">
        <f>F32-F36-F40</f>
        <v>0</v>
      </c>
      <c r="C76" s="52">
        <f>G32-G36-G40</f>
        <v>0</v>
      </c>
      <c r="D76" s="52">
        <f>H32-H36-H40</f>
        <v>0</v>
      </c>
      <c r="E76" s="53">
        <f t="shared" si="13"/>
        <v>0</v>
      </c>
      <c r="F76" s="33">
        <f t="shared" si="14"/>
        <v>0</v>
      </c>
      <c r="G76" s="33">
        <f t="shared" si="15"/>
        <v>0</v>
      </c>
      <c r="H76" s="33">
        <f t="shared" si="16"/>
        <v>0</v>
      </c>
      <c r="I76" s="33">
        <v>0</v>
      </c>
      <c r="J76" s="54">
        <f t="shared" si="17"/>
        <v>0</v>
      </c>
    </row>
    <row r="77" spans="1:10" ht="12.75">
      <c r="A77" s="32" t="s">
        <v>39</v>
      </c>
      <c r="B77" s="52">
        <f>F33-F34</f>
        <v>0</v>
      </c>
      <c r="C77" s="52">
        <f>G33-G34</f>
        <v>0</v>
      </c>
      <c r="D77" s="52">
        <f>H33-H34</f>
        <v>0</v>
      </c>
      <c r="E77" s="53">
        <f t="shared" si="13"/>
        <v>0</v>
      </c>
      <c r="F77" s="33">
        <f t="shared" si="14"/>
        <v>0</v>
      </c>
      <c r="G77" s="33">
        <f t="shared" si="15"/>
        <v>0</v>
      </c>
      <c r="H77" s="33">
        <f t="shared" si="16"/>
        <v>0</v>
      </c>
      <c r="I77" s="33">
        <v>0</v>
      </c>
      <c r="J77" s="54">
        <f t="shared" si="17"/>
        <v>0</v>
      </c>
    </row>
    <row r="78" spans="1:10" ht="12.75">
      <c r="A78" s="32" t="s">
        <v>36</v>
      </c>
      <c r="B78" s="52">
        <f aca="true" t="shared" si="18" ref="B78:D80">F34</f>
        <v>23.6</v>
      </c>
      <c r="C78" s="52">
        <f t="shared" si="18"/>
        <v>0</v>
      </c>
      <c r="D78" s="52">
        <f t="shared" si="18"/>
        <v>0</v>
      </c>
      <c r="E78" s="53">
        <f t="shared" si="13"/>
        <v>23.6</v>
      </c>
      <c r="F78" s="33">
        <f>B78*D10</f>
        <v>2826.572</v>
      </c>
      <c r="G78" s="33">
        <f t="shared" si="15"/>
        <v>0</v>
      </c>
      <c r="H78" s="33">
        <f t="shared" si="16"/>
        <v>0</v>
      </c>
      <c r="I78" s="33">
        <v>0</v>
      </c>
      <c r="J78" s="54">
        <f t="shared" si="17"/>
        <v>2826.572</v>
      </c>
    </row>
    <row r="79" spans="1:10" ht="12.75">
      <c r="A79" s="32" t="s">
        <v>37</v>
      </c>
      <c r="B79" s="52">
        <f t="shared" si="18"/>
        <v>0</v>
      </c>
      <c r="C79" s="52">
        <f t="shared" si="18"/>
        <v>0</v>
      </c>
      <c r="D79" s="52">
        <f t="shared" si="18"/>
        <v>0</v>
      </c>
      <c r="E79" s="53">
        <f t="shared" si="13"/>
        <v>0</v>
      </c>
      <c r="F79" s="33">
        <f t="shared" si="14"/>
        <v>0</v>
      </c>
      <c r="G79" s="33">
        <f t="shared" si="15"/>
        <v>0</v>
      </c>
      <c r="H79" s="33">
        <f t="shared" si="16"/>
        <v>0</v>
      </c>
      <c r="I79" s="33">
        <v>0</v>
      </c>
      <c r="J79" s="54">
        <f t="shared" si="17"/>
        <v>0</v>
      </c>
    </row>
    <row r="80" spans="1:10" ht="12.75">
      <c r="A80" s="32" t="s">
        <v>15</v>
      </c>
      <c r="B80" s="52">
        <f t="shared" si="18"/>
        <v>0</v>
      </c>
      <c r="C80" s="52">
        <f t="shared" si="18"/>
        <v>0</v>
      </c>
      <c r="D80" s="52">
        <f t="shared" si="18"/>
        <v>0</v>
      </c>
      <c r="E80" s="53">
        <f aca="true" t="shared" si="19" ref="E80:E85">B80+C80+D80</f>
        <v>0</v>
      </c>
      <c r="F80" s="33">
        <f t="shared" si="14"/>
        <v>0</v>
      </c>
      <c r="G80" s="33">
        <f t="shared" si="15"/>
        <v>0</v>
      </c>
      <c r="H80" s="33">
        <f t="shared" si="16"/>
        <v>0</v>
      </c>
      <c r="I80" s="33">
        <v>0</v>
      </c>
      <c r="J80" s="54">
        <f t="shared" si="17"/>
        <v>0</v>
      </c>
    </row>
    <row r="81" spans="1:10" ht="12.75">
      <c r="A81" s="32" t="s">
        <v>128</v>
      </c>
      <c r="B81" s="52">
        <f>F37-F38</f>
        <v>0</v>
      </c>
      <c r="C81" s="52">
        <f>G37-G38</f>
        <v>0</v>
      </c>
      <c r="D81" s="52">
        <f>H37-H38</f>
        <v>0</v>
      </c>
      <c r="E81" s="53">
        <f t="shared" si="19"/>
        <v>0</v>
      </c>
      <c r="F81" s="33">
        <f t="shared" si="14"/>
        <v>0</v>
      </c>
      <c r="G81" s="33">
        <f t="shared" si="15"/>
        <v>0</v>
      </c>
      <c r="H81" s="33">
        <f t="shared" si="16"/>
        <v>0</v>
      </c>
      <c r="I81" s="33">
        <v>0</v>
      </c>
      <c r="J81" s="54">
        <f t="shared" si="17"/>
        <v>0</v>
      </c>
    </row>
    <row r="82" spans="1:10" ht="12.75">
      <c r="A82" s="32" t="s">
        <v>127</v>
      </c>
      <c r="B82" s="52">
        <f aca="true" t="shared" si="20" ref="B82:B90">F38</f>
        <v>0</v>
      </c>
      <c r="C82" s="52">
        <f aca="true" t="shared" si="21" ref="C82:C90">G38</f>
        <v>0</v>
      </c>
      <c r="D82" s="52">
        <f>H38</f>
        <v>0</v>
      </c>
      <c r="E82" s="53">
        <f t="shared" si="19"/>
        <v>0</v>
      </c>
      <c r="F82" s="33">
        <f t="shared" si="14"/>
        <v>0</v>
      </c>
      <c r="G82" s="33">
        <f t="shared" si="15"/>
        <v>0</v>
      </c>
      <c r="H82" s="33">
        <f t="shared" si="16"/>
        <v>0</v>
      </c>
      <c r="I82" s="33">
        <v>0</v>
      </c>
      <c r="J82" s="54">
        <f t="shared" si="17"/>
        <v>0</v>
      </c>
    </row>
    <row r="83" spans="1:10" ht="12.75">
      <c r="A83" s="24" t="s">
        <v>20</v>
      </c>
      <c r="B83" s="52">
        <f t="shared" si="20"/>
        <v>0</v>
      </c>
      <c r="C83" s="52">
        <f t="shared" si="21"/>
        <v>0</v>
      </c>
      <c r="D83" s="52">
        <f>H39</f>
        <v>0</v>
      </c>
      <c r="E83" s="53">
        <f t="shared" si="19"/>
        <v>0</v>
      </c>
      <c r="F83" s="33">
        <f t="shared" si="14"/>
        <v>0</v>
      </c>
      <c r="G83" s="33">
        <f t="shared" si="15"/>
        <v>0</v>
      </c>
      <c r="H83" s="33">
        <f t="shared" si="16"/>
        <v>0</v>
      </c>
      <c r="I83" s="33">
        <v>0</v>
      </c>
      <c r="J83" s="54">
        <f t="shared" si="17"/>
        <v>0</v>
      </c>
    </row>
    <row r="84" spans="1:10" ht="12.75">
      <c r="A84" s="24" t="s">
        <v>11</v>
      </c>
      <c r="B84" s="52">
        <f t="shared" si="20"/>
        <v>0</v>
      </c>
      <c r="C84" s="52">
        <f t="shared" si="21"/>
        <v>0</v>
      </c>
      <c r="D84" s="52">
        <f>H40</f>
        <v>0</v>
      </c>
      <c r="E84" s="53">
        <f t="shared" si="19"/>
        <v>0</v>
      </c>
      <c r="F84" s="33">
        <f t="shared" si="14"/>
        <v>0</v>
      </c>
      <c r="G84" s="33">
        <f t="shared" si="15"/>
        <v>0</v>
      </c>
      <c r="H84" s="33">
        <f t="shared" si="16"/>
        <v>0</v>
      </c>
      <c r="I84" s="33">
        <v>0</v>
      </c>
      <c r="J84" s="54">
        <f t="shared" si="17"/>
        <v>0</v>
      </c>
    </row>
    <row r="85" spans="1:10" ht="12.75">
      <c r="A85" s="24" t="s">
        <v>10</v>
      </c>
      <c r="B85" s="52">
        <f t="shared" si="20"/>
        <v>0</v>
      </c>
      <c r="C85" s="52">
        <f t="shared" si="21"/>
        <v>0</v>
      </c>
      <c r="D85" s="52">
        <f>H41</f>
        <v>0</v>
      </c>
      <c r="E85" s="53">
        <f t="shared" si="19"/>
        <v>0</v>
      </c>
      <c r="F85" s="33">
        <f t="shared" si="14"/>
        <v>0</v>
      </c>
      <c r="G85" s="33">
        <f t="shared" si="15"/>
        <v>0</v>
      </c>
      <c r="H85" s="33">
        <f t="shared" si="16"/>
        <v>0</v>
      </c>
      <c r="I85" s="33">
        <v>0</v>
      </c>
      <c r="J85" s="54">
        <f t="shared" si="17"/>
        <v>0</v>
      </c>
    </row>
    <row r="86" spans="1:10" ht="12.75">
      <c r="A86" s="24" t="s">
        <v>142</v>
      </c>
      <c r="B86" s="52">
        <f t="shared" si="20"/>
        <v>0</v>
      </c>
      <c r="C86" s="52">
        <f t="shared" si="21"/>
        <v>0</v>
      </c>
      <c r="D86" s="52" t="s">
        <v>147</v>
      </c>
      <c r="E86" s="53">
        <f>B86+C86</f>
        <v>0</v>
      </c>
      <c r="F86" s="33">
        <v>0</v>
      </c>
      <c r="G86" s="33">
        <v>0</v>
      </c>
      <c r="H86" s="33" t="s">
        <v>147</v>
      </c>
      <c r="I86" s="33">
        <v>0</v>
      </c>
      <c r="J86" s="54">
        <f>F86+I86</f>
        <v>0</v>
      </c>
    </row>
    <row r="87" spans="1:10" ht="12.75">
      <c r="A87" s="24" t="s">
        <v>143</v>
      </c>
      <c r="B87" s="52">
        <f t="shared" si="20"/>
        <v>0</v>
      </c>
      <c r="C87" s="52">
        <f t="shared" si="21"/>
        <v>0</v>
      </c>
      <c r="D87" s="52" t="s">
        <v>147</v>
      </c>
      <c r="E87" s="53">
        <f>B87+C87</f>
        <v>0</v>
      </c>
      <c r="F87" s="33">
        <v>0</v>
      </c>
      <c r="G87" s="33">
        <v>0</v>
      </c>
      <c r="H87" s="33" t="s">
        <v>147</v>
      </c>
      <c r="I87" s="33">
        <v>0</v>
      </c>
      <c r="J87" s="54">
        <f>F87+I87</f>
        <v>0</v>
      </c>
    </row>
    <row r="88" spans="1:10" ht="12.75">
      <c r="A88" s="24" t="s">
        <v>144</v>
      </c>
      <c r="B88" s="52">
        <f t="shared" si="20"/>
        <v>0</v>
      </c>
      <c r="C88" s="52">
        <f t="shared" si="21"/>
        <v>0</v>
      </c>
      <c r="D88" s="52" t="s">
        <v>147</v>
      </c>
      <c r="E88" s="53">
        <f>B88+C88</f>
        <v>0</v>
      </c>
      <c r="F88" s="33">
        <v>0</v>
      </c>
      <c r="G88" s="33">
        <v>0</v>
      </c>
      <c r="H88" s="33" t="s">
        <v>147</v>
      </c>
      <c r="I88" s="33">
        <v>0</v>
      </c>
      <c r="J88" s="54">
        <f>F88+I88</f>
        <v>0</v>
      </c>
    </row>
    <row r="89" spans="1:10" ht="12.75">
      <c r="A89" s="24" t="s">
        <v>145</v>
      </c>
      <c r="B89" s="52">
        <f t="shared" si="20"/>
        <v>0</v>
      </c>
      <c r="C89" s="52">
        <f t="shared" si="21"/>
        <v>0</v>
      </c>
      <c r="D89" s="52" t="s">
        <v>147</v>
      </c>
      <c r="E89" s="53">
        <f>B89+C89</f>
        <v>0</v>
      </c>
      <c r="F89" s="33">
        <v>0</v>
      </c>
      <c r="G89" s="33">
        <v>0</v>
      </c>
      <c r="H89" s="33" t="s">
        <v>147</v>
      </c>
      <c r="I89" s="33">
        <v>0</v>
      </c>
      <c r="J89" s="54">
        <f>F89+I89</f>
        <v>0</v>
      </c>
    </row>
    <row r="90" spans="1:10" ht="12.75">
      <c r="A90" s="24" t="s">
        <v>146</v>
      </c>
      <c r="B90" s="52">
        <f t="shared" si="20"/>
        <v>0</v>
      </c>
      <c r="C90" s="52">
        <f t="shared" si="21"/>
        <v>0</v>
      </c>
      <c r="D90" s="52" t="s">
        <v>147</v>
      </c>
      <c r="E90" s="53">
        <f>B90+C90</f>
        <v>0</v>
      </c>
      <c r="F90" s="33">
        <v>0</v>
      </c>
      <c r="G90" s="33">
        <v>0</v>
      </c>
      <c r="H90" s="33" t="s">
        <v>147</v>
      </c>
      <c r="I90" s="33">
        <v>0</v>
      </c>
      <c r="J90" s="54">
        <f>F90+I90</f>
        <v>0</v>
      </c>
    </row>
    <row r="91" spans="1:10" ht="12.75">
      <c r="A91" s="74" t="s">
        <v>50</v>
      </c>
      <c r="B91" s="58">
        <f>SUM(B73:B90)</f>
        <v>23.6</v>
      </c>
      <c r="C91" s="58">
        <f>SUM(C73:C90)</f>
        <v>0</v>
      </c>
      <c r="D91" s="58">
        <f>SUM(D73:D85)</f>
        <v>0</v>
      </c>
      <c r="E91" s="75">
        <f>B91+C91+D91</f>
        <v>23.6</v>
      </c>
      <c r="F91" s="44">
        <f>SUM(F73:F90)</f>
        <v>2826.572</v>
      </c>
      <c r="G91" s="44">
        <f>SUM(G73:G90)</f>
        <v>0</v>
      </c>
      <c r="H91" s="44">
        <f>SUM(H73:H85)</f>
        <v>0</v>
      </c>
      <c r="I91" s="44">
        <f>SUM(I73:I90)</f>
        <v>0</v>
      </c>
      <c r="J91" s="76">
        <f>SUM(J73:J90)</f>
        <v>2826.572</v>
      </c>
    </row>
    <row r="92" spans="1:10" ht="12.75">
      <c r="A92" s="34"/>
      <c r="B92" s="59"/>
      <c r="C92" s="59"/>
      <c r="D92" s="59"/>
      <c r="E92" s="61"/>
      <c r="F92" s="36"/>
      <c r="G92" s="36"/>
      <c r="H92" s="36"/>
      <c r="I92" s="38"/>
      <c r="J92" s="59"/>
    </row>
    <row r="93" spans="1:10" ht="15.75">
      <c r="A93" s="627" t="s">
        <v>153</v>
      </c>
      <c r="B93" s="627"/>
      <c r="C93" s="627"/>
      <c r="D93" s="627"/>
      <c r="E93" s="23"/>
      <c r="F93" s="23"/>
      <c r="G93" s="23"/>
      <c r="H93" s="23"/>
      <c r="I93" s="23"/>
      <c r="J93" s="23"/>
    </row>
    <row r="94" spans="1:10" ht="79.5" customHeight="1">
      <c r="A94" s="28" t="s">
        <v>66</v>
      </c>
      <c r="B94" s="28" t="s">
        <v>154</v>
      </c>
      <c r="C94" s="28" t="s">
        <v>91</v>
      </c>
      <c r="D94" s="28" t="s">
        <v>67</v>
      </c>
      <c r="E94" s="23"/>
      <c r="F94" s="23"/>
      <c r="G94" s="23"/>
      <c r="H94" s="23"/>
      <c r="I94" s="23"/>
      <c r="J94" s="23"/>
    </row>
    <row r="95" spans="1:10" ht="12.75">
      <c r="A95" s="208" t="s">
        <v>29</v>
      </c>
      <c r="B95" s="208">
        <v>0</v>
      </c>
      <c r="C95" s="54">
        <f>C6</f>
        <v>0</v>
      </c>
      <c r="D95" s="54">
        <f aca="true" t="shared" si="22" ref="D95:D106">B95*C95</f>
        <v>0</v>
      </c>
      <c r="E95" s="23"/>
      <c r="F95" s="23"/>
      <c r="G95" s="23"/>
      <c r="H95" s="23"/>
      <c r="I95" s="23"/>
      <c r="J95" s="23"/>
    </row>
    <row r="96" spans="1:10" ht="12.75">
      <c r="A96" s="208" t="s">
        <v>35</v>
      </c>
      <c r="B96" s="208">
        <v>0</v>
      </c>
      <c r="C96" s="54">
        <f>C7</f>
        <v>19.77</v>
      </c>
      <c r="D96" s="54">
        <f t="shared" si="22"/>
        <v>0</v>
      </c>
      <c r="E96" s="23"/>
      <c r="F96" s="23"/>
      <c r="G96" s="23"/>
      <c r="H96" s="23"/>
      <c r="I96" s="23"/>
      <c r="J96" s="23"/>
    </row>
    <row r="97" spans="1:10" ht="12.75">
      <c r="A97" s="208" t="s">
        <v>5</v>
      </c>
      <c r="B97" s="208">
        <v>0</v>
      </c>
      <c r="C97" s="54">
        <f aca="true" t="shared" si="23" ref="C97:C106">C8</f>
        <v>0</v>
      </c>
      <c r="D97" s="54">
        <f t="shared" si="22"/>
        <v>0</v>
      </c>
      <c r="E97" s="23"/>
      <c r="F97" s="23"/>
      <c r="G97" s="23"/>
      <c r="H97" s="23"/>
      <c r="I97" s="23"/>
      <c r="J97" s="23"/>
    </row>
    <row r="98" spans="1:10" ht="12.75">
      <c r="A98" s="208" t="s">
        <v>8</v>
      </c>
      <c r="B98" s="208">
        <v>0</v>
      </c>
      <c r="C98" s="54">
        <f t="shared" si="23"/>
        <v>0</v>
      </c>
      <c r="D98" s="54">
        <f t="shared" si="22"/>
        <v>0</v>
      </c>
      <c r="E98" s="23"/>
      <c r="F98" s="23" t="s">
        <v>24</v>
      </c>
      <c r="G98" s="23"/>
      <c r="H98" s="23"/>
      <c r="I98" s="23"/>
      <c r="J98" s="23"/>
    </row>
    <row r="99" spans="1:10" ht="12.75">
      <c r="A99" s="208" t="s">
        <v>36</v>
      </c>
      <c r="B99" s="208">
        <v>0</v>
      </c>
      <c r="C99" s="54">
        <f t="shared" si="23"/>
        <v>0</v>
      </c>
      <c r="D99" s="54">
        <f t="shared" si="22"/>
        <v>0</v>
      </c>
      <c r="E99" s="23"/>
      <c r="F99" s="23"/>
      <c r="G99" s="23"/>
      <c r="H99" s="23"/>
      <c r="I99" s="23"/>
      <c r="J99" s="23"/>
    </row>
    <row r="100" spans="1:10" ht="12.75">
      <c r="A100" s="208" t="s">
        <v>37</v>
      </c>
      <c r="B100" s="208">
        <v>0</v>
      </c>
      <c r="C100" s="54">
        <f t="shared" si="23"/>
        <v>0</v>
      </c>
      <c r="D100" s="54">
        <f t="shared" si="22"/>
        <v>0</v>
      </c>
      <c r="E100" s="23"/>
      <c r="F100" s="23"/>
      <c r="G100" s="23"/>
      <c r="H100" s="23"/>
      <c r="I100" s="23"/>
      <c r="J100" s="23"/>
    </row>
    <row r="101" spans="1:10" ht="12.75">
      <c r="A101" s="24" t="s">
        <v>15</v>
      </c>
      <c r="B101" s="208">
        <v>0</v>
      </c>
      <c r="C101" s="54">
        <f t="shared" si="23"/>
        <v>0</v>
      </c>
      <c r="D101" s="54">
        <f t="shared" si="22"/>
        <v>0</v>
      </c>
      <c r="E101" s="23"/>
      <c r="F101" s="23"/>
      <c r="G101" s="23"/>
      <c r="H101" s="23"/>
      <c r="I101" s="23"/>
      <c r="J101" s="23"/>
    </row>
    <row r="102" spans="1:10" ht="12.75">
      <c r="A102" s="24" t="s">
        <v>45</v>
      </c>
      <c r="B102" s="208">
        <v>0</v>
      </c>
      <c r="C102" s="54">
        <f t="shared" si="23"/>
        <v>0</v>
      </c>
      <c r="D102" s="54">
        <f t="shared" si="22"/>
        <v>0</v>
      </c>
      <c r="E102" s="23"/>
      <c r="F102" s="23"/>
      <c r="G102" s="23"/>
      <c r="H102" s="23"/>
      <c r="I102" s="23"/>
      <c r="J102" s="23"/>
    </row>
    <row r="103" spans="1:10" ht="12.75">
      <c r="A103" s="24" t="s">
        <v>127</v>
      </c>
      <c r="B103" s="208">
        <v>0</v>
      </c>
      <c r="C103" s="54">
        <f t="shared" si="23"/>
        <v>0</v>
      </c>
      <c r="D103" s="54">
        <f t="shared" si="22"/>
        <v>0</v>
      </c>
      <c r="E103" s="23"/>
      <c r="F103" s="23"/>
      <c r="G103" s="23"/>
      <c r="H103" s="23"/>
      <c r="I103" s="23"/>
      <c r="J103" s="23"/>
    </row>
    <row r="104" spans="1:10" ht="12.75">
      <c r="A104" s="24" t="s">
        <v>20</v>
      </c>
      <c r="B104" s="208">
        <v>0</v>
      </c>
      <c r="C104" s="54">
        <f>C15</f>
        <v>102.77</v>
      </c>
      <c r="D104" s="54">
        <f t="shared" si="22"/>
        <v>0</v>
      </c>
      <c r="E104" s="23"/>
      <c r="F104" s="23"/>
      <c r="G104" s="23"/>
      <c r="H104" s="23"/>
      <c r="I104" s="23"/>
      <c r="J104" s="23"/>
    </row>
    <row r="105" spans="1:10" ht="12.75">
      <c r="A105" s="24" t="s">
        <v>11</v>
      </c>
      <c r="B105" s="208">
        <v>0</v>
      </c>
      <c r="C105" s="54">
        <f>C16</f>
        <v>0.3</v>
      </c>
      <c r="D105" s="54">
        <f t="shared" si="22"/>
        <v>0</v>
      </c>
      <c r="E105" s="23"/>
      <c r="F105" s="23"/>
      <c r="G105" s="23"/>
      <c r="H105" s="23"/>
      <c r="I105" s="23"/>
      <c r="J105" s="23"/>
    </row>
    <row r="106" spans="1:10" ht="12.75">
      <c r="A106" s="24" t="s">
        <v>10</v>
      </c>
      <c r="B106" s="208">
        <v>0</v>
      </c>
      <c r="C106" s="54">
        <f t="shared" si="23"/>
        <v>0</v>
      </c>
      <c r="D106" s="54">
        <f t="shared" si="22"/>
        <v>0</v>
      </c>
      <c r="E106" s="23"/>
      <c r="F106" s="23"/>
      <c r="G106" s="23"/>
      <c r="H106" s="23"/>
      <c r="I106" s="23"/>
      <c r="J106" s="23"/>
    </row>
    <row r="107" spans="1:10" ht="12.75">
      <c r="A107" s="209" t="s">
        <v>50</v>
      </c>
      <c r="B107" s="208" t="s">
        <v>24</v>
      </c>
      <c r="C107" s="208"/>
      <c r="D107" s="76">
        <f>SUM(D95:D106)</f>
        <v>0</v>
      </c>
      <c r="E107" s="23"/>
      <c r="F107" s="23"/>
      <c r="G107" s="23"/>
      <c r="H107" s="23"/>
      <c r="I107" s="23"/>
      <c r="J107" s="23"/>
    </row>
    <row r="108" spans="1:10" ht="12.75">
      <c r="A108" s="25" t="s">
        <v>92</v>
      </c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12.75">
      <c r="A109" s="23"/>
      <c r="B109" s="23" t="s">
        <v>24</v>
      </c>
      <c r="C109" s="23"/>
      <c r="D109" s="23"/>
      <c r="E109" s="23"/>
      <c r="F109" s="23"/>
      <c r="G109" s="23"/>
      <c r="H109" s="23"/>
      <c r="I109" s="23"/>
      <c r="J109" s="23"/>
    </row>
    <row r="110" ht="12.75">
      <c r="B110" s="4" t="s">
        <v>24</v>
      </c>
    </row>
    <row r="111" ht="12.75">
      <c r="B111" s="4" t="s">
        <v>24</v>
      </c>
    </row>
  </sheetData>
  <sheetProtection/>
  <mergeCells count="7">
    <mergeCell ref="A24:H24"/>
    <mergeCell ref="A3:B3"/>
    <mergeCell ref="A27:B27"/>
    <mergeCell ref="A49:B49"/>
    <mergeCell ref="A71:B71"/>
    <mergeCell ref="A93:D93"/>
    <mergeCell ref="A47:I47"/>
  </mergeCells>
  <printOptions/>
  <pageMargins left="0.45" right="0.45" top="0.5" bottom="0.5" header="0.3" footer="0.3"/>
  <pageSetup fitToHeight="1" fitToWidth="1" horizontalDpi="600" verticalDpi="600" orientation="portrait" paperSize="17" scale="68" r:id="rId1"/>
  <rowBreaks count="1" manualBreakCount="1">
    <brk id="7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1.00390625" style="4" customWidth="1"/>
    <col min="2" max="2" width="12.8515625" style="4" customWidth="1"/>
    <col min="3" max="3" width="15.7109375" style="4" customWidth="1"/>
    <col min="4" max="4" width="16.421875" style="4" customWidth="1"/>
    <col min="5" max="5" width="18.57421875" style="4" customWidth="1"/>
    <col min="6" max="6" width="18.7109375" style="4" customWidth="1"/>
    <col min="7" max="7" width="20.00390625" style="4" customWidth="1"/>
    <col min="8" max="8" width="18.421875" style="4" customWidth="1"/>
    <col min="9" max="9" width="18.140625" style="4" customWidth="1"/>
    <col min="10" max="10" width="18.421875" style="4" customWidth="1"/>
    <col min="11" max="11" width="20.00390625" style="4" customWidth="1"/>
    <col min="12" max="12" width="15.7109375" style="4" customWidth="1"/>
    <col min="13" max="13" width="12.7109375" style="4" customWidth="1"/>
    <col min="14" max="16384" width="9.140625" style="4" customWidth="1"/>
  </cols>
  <sheetData>
    <row r="1" spans="1:7" ht="18.75">
      <c r="A1" s="111" t="s">
        <v>222</v>
      </c>
      <c r="E1" s="16" t="s">
        <v>24</v>
      </c>
      <c r="F1" s="16" t="s">
        <v>24</v>
      </c>
      <c r="G1" s="16" t="s">
        <v>24</v>
      </c>
    </row>
    <row r="2" spans="1:8" ht="12.75">
      <c r="A2" s="20"/>
      <c r="E2" s="4" t="s">
        <v>24</v>
      </c>
      <c r="F2" s="4" t="s">
        <v>24</v>
      </c>
      <c r="G2" s="4" t="s">
        <v>24</v>
      </c>
      <c r="H2" s="4" t="s">
        <v>24</v>
      </c>
    </row>
    <row r="3" spans="1:13" ht="15.75">
      <c r="A3" s="210" t="s">
        <v>0</v>
      </c>
      <c r="B3" s="23"/>
      <c r="C3" s="23"/>
      <c r="D3" s="108" t="s">
        <v>24</v>
      </c>
      <c r="E3" s="23"/>
      <c r="F3" s="23"/>
      <c r="G3" s="23"/>
      <c r="H3" s="23"/>
      <c r="I3" s="23"/>
      <c r="J3" s="23"/>
      <c r="K3" s="23"/>
      <c r="L3" s="23"/>
      <c r="M3" s="23"/>
    </row>
    <row r="4" spans="1:13" ht="12.75" customHeight="1">
      <c r="A4" s="208" t="s">
        <v>1</v>
      </c>
      <c r="B4" s="212">
        <v>0.165</v>
      </c>
      <c r="C4" s="23"/>
      <c r="D4" s="78" t="s">
        <v>24</v>
      </c>
      <c r="E4" s="30" t="s">
        <v>24</v>
      </c>
      <c r="F4" s="30" t="s">
        <v>24</v>
      </c>
      <c r="G4" s="30" t="s">
        <v>24</v>
      </c>
      <c r="H4" s="30" t="s">
        <v>24</v>
      </c>
      <c r="I4" s="30" t="s">
        <v>24</v>
      </c>
      <c r="J4" s="30" t="s">
        <v>24</v>
      </c>
      <c r="K4" s="23"/>
      <c r="L4" s="30" t="s">
        <v>24</v>
      </c>
      <c r="M4" s="23"/>
    </row>
    <row r="5" spans="1:13" ht="12.75" customHeight="1">
      <c r="A5" s="211" t="s">
        <v>2</v>
      </c>
      <c r="B5" s="157">
        <v>0.066</v>
      </c>
      <c r="C5" s="23"/>
      <c r="D5" s="34" t="s">
        <v>24</v>
      </c>
      <c r="E5" s="77" t="s">
        <v>24</v>
      </c>
      <c r="F5" s="79" t="s">
        <v>24</v>
      </c>
      <c r="G5" s="79" t="s">
        <v>24</v>
      </c>
      <c r="H5" s="79" t="s">
        <v>24</v>
      </c>
      <c r="I5" s="79" t="s">
        <v>24</v>
      </c>
      <c r="J5" s="30" t="s">
        <v>24</v>
      </c>
      <c r="K5" s="30" t="s">
        <v>24</v>
      </c>
      <c r="L5" s="77" t="s">
        <v>24</v>
      </c>
      <c r="M5" s="23"/>
    </row>
    <row r="6" spans="1:13" ht="12.75" customHeight="1">
      <c r="A6" s="208" t="s">
        <v>4</v>
      </c>
      <c r="B6" s="213">
        <v>1.0881</v>
      </c>
      <c r="C6" s="23"/>
      <c r="D6" s="34" t="s">
        <v>24</v>
      </c>
      <c r="E6" s="80" t="s">
        <v>24</v>
      </c>
      <c r="F6" s="73" t="s">
        <v>24</v>
      </c>
      <c r="G6" s="81" t="s">
        <v>24</v>
      </c>
      <c r="H6" s="82" t="s">
        <v>24</v>
      </c>
      <c r="I6" s="82" t="s">
        <v>24</v>
      </c>
      <c r="J6" s="82" t="s">
        <v>24</v>
      </c>
      <c r="K6" s="83" t="s">
        <v>24</v>
      </c>
      <c r="L6" s="84" t="s">
        <v>24</v>
      </c>
      <c r="M6" s="23"/>
    </row>
    <row r="7" spans="1:13" ht="12.75" customHeight="1">
      <c r="A7" s="208" t="s">
        <v>228</v>
      </c>
      <c r="B7" s="48">
        <f>157092.4+1891.4</f>
        <v>158983.8</v>
      </c>
      <c r="C7" s="23" t="s">
        <v>24</v>
      </c>
      <c r="D7" s="34" t="s">
        <v>24</v>
      </c>
      <c r="E7" s="77" t="s">
        <v>24</v>
      </c>
      <c r="F7" s="85" t="s">
        <v>24</v>
      </c>
      <c r="G7" s="73" t="s">
        <v>24</v>
      </c>
      <c r="H7" s="73" t="s">
        <v>24</v>
      </c>
      <c r="I7" s="73" t="s">
        <v>24</v>
      </c>
      <c r="J7" s="81" t="s">
        <v>24</v>
      </c>
      <c r="K7" s="82"/>
      <c r="L7" s="77" t="s">
        <v>24</v>
      </c>
      <c r="M7" s="23"/>
    </row>
    <row r="8" spans="1:13" ht="12.75" customHeight="1">
      <c r="A8" s="208" t="s">
        <v>23</v>
      </c>
      <c r="B8" s="214">
        <f>'BRA Resource Clearing Results'!E69/('BRA Load Pricing Results'!G58*'BRA Load Pricing Results'!B6)</f>
        <v>1.0650157273271732</v>
      </c>
      <c r="C8" s="34" t="s">
        <v>24</v>
      </c>
      <c r="D8" s="86" t="s">
        <v>24</v>
      </c>
      <c r="E8" s="77" t="s">
        <v>24</v>
      </c>
      <c r="F8" s="85" t="s">
        <v>24</v>
      </c>
      <c r="G8" s="81" t="s">
        <v>24</v>
      </c>
      <c r="H8" s="81" t="s">
        <v>24</v>
      </c>
      <c r="I8" s="81" t="s">
        <v>24</v>
      </c>
      <c r="J8" s="81" t="s">
        <v>24</v>
      </c>
      <c r="K8" s="82" t="s">
        <v>24</v>
      </c>
      <c r="L8" s="77" t="s">
        <v>24</v>
      </c>
      <c r="M8" s="23"/>
    </row>
    <row r="9" spans="1:13" ht="12.75">
      <c r="A9" s="23" t="s">
        <v>229</v>
      </c>
      <c r="B9" s="23"/>
      <c r="C9" s="23"/>
      <c r="D9" s="25" t="s">
        <v>24</v>
      </c>
      <c r="E9" s="87"/>
      <c r="F9" s="65"/>
      <c r="G9" s="87"/>
      <c r="H9" s="88" t="s">
        <v>24</v>
      </c>
      <c r="I9" s="23"/>
      <c r="J9" s="23"/>
      <c r="K9" s="23"/>
      <c r="L9" s="23" t="s">
        <v>24</v>
      </c>
      <c r="M9" s="23"/>
    </row>
    <row r="10" spans="1:13" ht="12.75">
      <c r="A10" s="25"/>
      <c r="B10" s="36"/>
      <c r="C10" s="36"/>
      <c r="D10" s="36"/>
      <c r="E10" s="40" t="s">
        <v>24</v>
      </c>
      <c r="F10" s="41"/>
      <c r="G10" s="41"/>
      <c r="H10" s="41"/>
      <c r="I10" s="42"/>
      <c r="J10" s="42"/>
      <c r="K10" s="42"/>
      <c r="L10" s="43"/>
      <c r="M10" s="23"/>
    </row>
    <row r="11" spans="1:13" ht="15.75">
      <c r="A11" s="199" t="s">
        <v>163</v>
      </c>
      <c r="B11" s="36"/>
      <c r="C11" s="36"/>
      <c r="D11" s="36"/>
      <c r="E11" s="68"/>
      <c r="F11" s="69"/>
      <c r="G11" s="69"/>
      <c r="H11" s="69"/>
      <c r="I11" s="70"/>
      <c r="J11" s="70"/>
      <c r="K11" s="42"/>
      <c r="L11" s="43"/>
      <c r="M11" s="23"/>
    </row>
    <row r="12" spans="1:13" ht="69.75" customHeight="1">
      <c r="A12" s="227" t="s">
        <v>3</v>
      </c>
      <c r="B12" s="227" t="s">
        <v>61</v>
      </c>
      <c r="C12" s="227" t="s">
        <v>184</v>
      </c>
      <c r="D12" s="227" t="s">
        <v>185</v>
      </c>
      <c r="E12" s="227" t="s">
        <v>186</v>
      </c>
      <c r="F12" s="227" t="s">
        <v>183</v>
      </c>
      <c r="G12" s="227" t="s">
        <v>216</v>
      </c>
      <c r="H12" s="227" t="s">
        <v>217</v>
      </c>
      <c r="I12" s="227" t="s">
        <v>161</v>
      </c>
      <c r="J12" s="227" t="s">
        <v>162</v>
      </c>
      <c r="K12" s="227" t="s">
        <v>187</v>
      </c>
      <c r="L12" s="227" t="s">
        <v>89</v>
      </c>
      <c r="M12" s="23"/>
    </row>
    <row r="13" spans="1:13" ht="12.75">
      <c r="A13" s="32" t="s">
        <v>6</v>
      </c>
      <c r="B13" s="48">
        <f>J58</f>
        <v>167305.89999999997</v>
      </c>
      <c r="C13" s="184">
        <f>'BRA Resource Clearing Results'!B5</f>
        <v>100</v>
      </c>
      <c r="D13" s="184">
        <f>'BRA Resource Clearing Results'!C5</f>
        <v>0</v>
      </c>
      <c r="E13" s="112">
        <f>('BRA Resource Clearing Results'!C29+'BRA Resource Clearing Results'!D29)*'BRA Resource Clearing Results'!E5</f>
        <v>-539972</v>
      </c>
      <c r="F13" s="185">
        <f>E13/B13</f>
        <v>-3.2274534251332447</v>
      </c>
      <c r="G13" s="112">
        <f>('BRA Resource Clearing Results'!D29*'BRA Resource Clearing Results'!G5)</f>
        <v>0</v>
      </c>
      <c r="H13" s="185">
        <f>G13/B13</f>
        <v>0</v>
      </c>
      <c r="I13" s="37" t="s">
        <v>147</v>
      </c>
      <c r="J13" s="184" t="s">
        <v>147</v>
      </c>
      <c r="K13" s="184">
        <f>'BRA Resource Clearing Results'!J73/'BRA Load Pricing Results'!B13</f>
        <v>0</v>
      </c>
      <c r="L13" s="186">
        <f aca="true" t="shared" si="0" ref="L13:L20">C13+D13+F13+H13+K13</f>
        <v>96.77254657486675</v>
      </c>
      <c r="M13" s="23"/>
    </row>
    <row r="14" spans="1:13" ht="12.75">
      <c r="A14" s="32" t="s">
        <v>29</v>
      </c>
      <c r="B14" s="48">
        <f>J38+J42+J48+(SUM(J50:J57))</f>
        <v>66212.84751053568</v>
      </c>
      <c r="C14" s="184">
        <f>'BRA Resource Clearing Results'!B6</f>
        <v>100</v>
      </c>
      <c r="D14" s="184">
        <f>'BRA Resource Clearing Results'!C6</f>
        <v>0</v>
      </c>
      <c r="E14" s="37">
        <f>('BRA Resource Clearing Results'!C30+'BRA Resource Clearing Results'!D30)*('BRA Resource Clearing Results'!E6-'BRA Resource Clearing Results'!E5)</f>
        <v>0</v>
      </c>
      <c r="F14" s="185">
        <f>F13+(E14/B14)</f>
        <v>-3.2274534251332447</v>
      </c>
      <c r="G14" s="112">
        <f>'BRA Resource Clearing Results'!D30*('BRA Resource Clearing Results'!G6-'BRA Resource Clearing Results'!G5)</f>
        <v>0</v>
      </c>
      <c r="H14" s="185">
        <f>H13+(G14/B14)</f>
        <v>0</v>
      </c>
      <c r="I14" s="37" t="s">
        <v>147</v>
      </c>
      <c r="J14" s="184" t="str">
        <f aca="true" t="shared" si="1" ref="J14:J20">J13</f>
        <v>NA</v>
      </c>
      <c r="K14" s="184">
        <f>K13+'BRA Resource Clearing Results'!J74/'BRA Load Pricing Results'!B14</f>
        <v>0</v>
      </c>
      <c r="L14" s="186">
        <f t="shared" si="0"/>
        <v>96.77254657486675</v>
      </c>
      <c r="M14" s="23"/>
    </row>
    <row r="15" spans="1:13" ht="12.75">
      <c r="A15" s="32" t="s">
        <v>35</v>
      </c>
      <c r="B15" s="48">
        <f>J38+J48+J50+J52+J56+J57</f>
        <v>35935.74043617466</v>
      </c>
      <c r="C15" s="184">
        <f>'BRA Resource Clearing Results'!B7</f>
        <v>100</v>
      </c>
      <c r="D15" s="184">
        <f>'BRA Resource Clearing Results'!C6+'BRA Resource Clearing Results'!C7</f>
        <v>19.77</v>
      </c>
      <c r="E15" s="37">
        <f>('BRA Resource Clearing Results'!C31+'BRA Resource Clearing Results'!D31)*('BRA Resource Clearing Results'!E7-'BRA Resource Clearing Results'!E6)</f>
        <v>0</v>
      </c>
      <c r="F15" s="185">
        <f>F14+(E15/B15)</f>
        <v>-3.2274534251332447</v>
      </c>
      <c r="G15" s="112">
        <f>'BRA Resource Clearing Results'!D31*('BRA Resource Clearing Results'!G7-'BRA Resource Clearing Results'!G6)</f>
        <v>0</v>
      </c>
      <c r="H15" s="185">
        <f>H14+(G15/B15)</f>
        <v>0</v>
      </c>
      <c r="I15" s="37" t="s">
        <v>147</v>
      </c>
      <c r="J15" s="184" t="str">
        <f t="shared" si="1"/>
        <v>NA</v>
      </c>
      <c r="K15" s="184">
        <f>K14+('BRA Resource Clearing Results'!J75/'BRA Load Pricing Results'!B15)</f>
        <v>0</v>
      </c>
      <c r="L15" s="186">
        <f t="shared" si="0"/>
        <v>116.54254657486675</v>
      </c>
      <c r="M15" s="23"/>
    </row>
    <row r="16" spans="1:13" ht="12.75">
      <c r="A16" s="32" t="s">
        <v>5</v>
      </c>
      <c r="B16" s="48">
        <f>J42+J54</f>
        <v>15232.999291632246</v>
      </c>
      <c r="C16" s="184">
        <f>'BRA Resource Clearing Results'!B8</f>
        <v>100</v>
      </c>
      <c r="D16" s="184">
        <f>'BRA Resource Clearing Results'!C6+'BRA Resource Clearing Results'!C8</f>
        <v>0</v>
      </c>
      <c r="E16" s="37">
        <f>('BRA Resource Clearing Results'!C32+'BRA Resource Clearing Results'!D32)*('BRA Resource Clearing Results'!E8-'BRA Resource Clearing Results'!E6)</f>
        <v>0</v>
      </c>
      <c r="F16" s="185">
        <f>F14+(E16/B16)</f>
        <v>-3.2274534251332447</v>
      </c>
      <c r="G16" s="112">
        <f>'BRA Resource Clearing Results'!D32*('BRA Resource Clearing Results'!G8-'BRA Resource Clearing Results'!G6)</f>
        <v>0</v>
      </c>
      <c r="H16" s="185">
        <f>H14+(G16/B16)</f>
        <v>0</v>
      </c>
      <c r="I16" s="37" t="s">
        <v>147</v>
      </c>
      <c r="J16" s="184" t="str">
        <f t="shared" si="1"/>
        <v>NA</v>
      </c>
      <c r="K16" s="184">
        <f>K14+('BRA Resource Clearing Results'!J76/'BRA Load Pricing Results'!B16)</f>
        <v>0</v>
      </c>
      <c r="L16" s="186">
        <f t="shared" si="0"/>
        <v>96.77254657486675</v>
      </c>
      <c r="M16" s="23"/>
    </row>
    <row r="17" spans="1:13" ht="12.75">
      <c r="A17" s="32" t="s">
        <v>15</v>
      </c>
      <c r="B17" s="48">
        <f>J54</f>
        <v>7401.534155622302</v>
      </c>
      <c r="C17" s="184">
        <f>'BRA Resource Clearing Results'!B12</f>
        <v>100</v>
      </c>
      <c r="D17" s="184">
        <f>'BRA Resource Clearing Results'!C6+'BRA Resource Clearing Results'!C8+'BRA Resource Clearing Results'!C12</f>
        <v>0</v>
      </c>
      <c r="E17" s="37">
        <f>('BRA Resource Clearing Results'!C36+'BRA Resource Clearing Results'!D36)*('BRA Resource Clearing Results'!E12-'BRA Resource Clearing Results'!E8)</f>
        <v>0</v>
      </c>
      <c r="F17" s="185">
        <f>F16+(E17/B17)</f>
        <v>-3.2274534251332447</v>
      </c>
      <c r="G17" s="112">
        <f>'BRA Resource Clearing Results'!D36*('BRA Resource Clearing Results'!G12-'BRA Resource Clearing Results'!G8)</f>
        <v>-37955.255</v>
      </c>
      <c r="H17" s="185">
        <f>H16+(G17/B17)</f>
        <v>-5.128025379869212</v>
      </c>
      <c r="I17" s="37" t="s">
        <v>147</v>
      </c>
      <c r="J17" s="184" t="str">
        <f t="shared" si="1"/>
        <v>NA</v>
      </c>
      <c r="K17" s="184">
        <f>K16+('BRA Resource Clearing Results'!J80/'BRA Load Pricing Results'!B17)</f>
        <v>0</v>
      </c>
      <c r="L17" s="186">
        <f t="shared" si="0"/>
        <v>91.64452119499754</v>
      </c>
      <c r="M17" s="23"/>
    </row>
    <row r="18" spans="1:13" ht="12.75">
      <c r="A18" s="24" t="s">
        <v>20</v>
      </c>
      <c r="B18" s="48">
        <f>J43</f>
        <v>25326.527160032154</v>
      </c>
      <c r="C18" s="184">
        <f>'BRA Resource Clearing Results'!B15</f>
        <v>100</v>
      </c>
      <c r="D18" s="184">
        <f>'BRA Resource Clearing Results'!C15</f>
        <v>102.77</v>
      </c>
      <c r="E18" s="37">
        <f>('BRA Resource Clearing Results'!C39+'BRA Resource Clearing Results'!D39)*('BRA Resource Clearing Results'!E15-'BRA Resource Clearing Results'!E5)</f>
        <v>0</v>
      </c>
      <c r="F18" s="185">
        <f>F13+(E18/B18)</f>
        <v>-3.2274534251332447</v>
      </c>
      <c r="G18" s="112">
        <f>'BRA Resource Clearing Results'!D39*('BRA Resource Clearing Results'!G15-'BRA Resource Clearing Results'!G5)</f>
        <v>0</v>
      </c>
      <c r="H18" s="185">
        <f>H13+(G18/B18)</f>
        <v>0</v>
      </c>
      <c r="I18" s="37" t="s">
        <v>147</v>
      </c>
      <c r="J18" s="184" t="str">
        <f t="shared" si="1"/>
        <v>NA</v>
      </c>
      <c r="K18" s="184">
        <f>K13+('BRA Resource Clearing Results'!J83/'BRA Load Pricing Results'!B18)</f>
        <v>0</v>
      </c>
      <c r="L18" s="186">
        <f t="shared" si="0"/>
        <v>199.54254657486675</v>
      </c>
      <c r="M18" s="23"/>
    </row>
    <row r="19" spans="1:13" ht="12.75">
      <c r="A19" s="24" t="s">
        <v>11</v>
      </c>
      <c r="B19" s="48">
        <f>J42</f>
        <v>7831.465136009944</v>
      </c>
      <c r="C19" s="184">
        <f>'BRA Resource Clearing Results'!B16</f>
        <v>100</v>
      </c>
      <c r="D19" s="184">
        <f>'BRA Resource Clearing Results'!C6+'BRA Resource Clearing Results'!C8+'BRA Resource Clearing Results'!C16</f>
        <v>0.3</v>
      </c>
      <c r="E19" s="37">
        <f>('BRA Resource Clearing Results'!C40+'BRA Resource Clearing Results'!D40)*('BRA Resource Clearing Results'!E16-'BRA Resource Clearing Results'!E8)</f>
        <v>0</v>
      </c>
      <c r="F19" s="185">
        <f>F16+(E19/B19)</f>
        <v>-3.2274534251332447</v>
      </c>
      <c r="G19" s="112">
        <f>'BRA Resource Clearing Results'!D40*('BRA Resource Clearing Results'!G16-'BRA Resource Clearing Results'!G8)</f>
        <v>0</v>
      </c>
      <c r="H19" s="185">
        <f>H16+(G19/B19)</f>
        <v>0</v>
      </c>
      <c r="I19" s="37" t="s">
        <v>147</v>
      </c>
      <c r="J19" s="184" t="str">
        <f t="shared" si="1"/>
        <v>NA</v>
      </c>
      <c r="K19" s="184">
        <f>K16+('BRA Resource Clearing Results'!J84/'BRA Load Pricing Results'!B19)</f>
        <v>0</v>
      </c>
      <c r="L19" s="186">
        <f t="shared" si="0"/>
        <v>97.07254657486675</v>
      </c>
      <c r="M19" s="23"/>
    </row>
    <row r="20" spans="1:13" ht="12.75">
      <c r="A20" s="24" t="s">
        <v>10</v>
      </c>
      <c r="B20" s="48">
        <f>J55</f>
        <v>8420.15769136553</v>
      </c>
      <c r="C20" s="184">
        <f>'BRA Resource Clearing Results'!B17</f>
        <v>100</v>
      </c>
      <c r="D20" s="184">
        <f>'BRA Resource Clearing Results'!C6+'BRA Resource Clearing Results'!C17</f>
        <v>0</v>
      </c>
      <c r="E20" s="112">
        <f>('BRA Resource Clearing Results'!C41+'BRA Resource Clearing Results'!D41)*('BRA Resource Clearing Results'!E17-'BRA Resource Clearing Results'!E6)</f>
        <v>0</v>
      </c>
      <c r="F20" s="185">
        <f>F14+(E20/B20)</f>
        <v>-3.2274534251332447</v>
      </c>
      <c r="G20" s="112">
        <f>'BRA Resource Clearing Results'!D41*('BRA Resource Clearing Results'!G17-'BRA Resource Clearing Results'!G6)</f>
        <v>0</v>
      </c>
      <c r="H20" s="185">
        <f>H14+(G20/B20)</f>
        <v>0</v>
      </c>
      <c r="I20" s="37" t="s">
        <v>147</v>
      </c>
      <c r="J20" s="184" t="str">
        <f t="shared" si="1"/>
        <v>NA</v>
      </c>
      <c r="K20" s="184">
        <f>K14+('BRA Resource Clearing Results'!J85/'BRA Load Pricing Results'!B20)</f>
        <v>0</v>
      </c>
      <c r="L20" s="186">
        <f t="shared" si="0"/>
        <v>96.77254657486675</v>
      </c>
      <c r="M20" s="23"/>
    </row>
    <row r="21" spans="1:13" s="7" customFormat="1" ht="12.75">
      <c r="A21" s="25" t="s">
        <v>90</v>
      </c>
      <c r="B21" s="36"/>
      <c r="C21" s="59"/>
      <c r="D21" s="59"/>
      <c r="E21" s="59"/>
      <c r="F21" s="61"/>
      <c r="G21" s="114"/>
      <c r="H21" s="36"/>
      <c r="I21" s="36"/>
      <c r="J21" s="59"/>
      <c r="K21" s="36"/>
      <c r="L21" s="73"/>
      <c r="M21" s="34"/>
    </row>
    <row r="22" spans="1:13" s="7" customFormat="1" ht="12.75">
      <c r="A22" s="25"/>
      <c r="B22" s="36"/>
      <c r="C22" s="59"/>
      <c r="D22" s="89" t="s">
        <v>24</v>
      </c>
      <c r="E22" s="89" t="s">
        <v>24</v>
      </c>
      <c r="F22" s="61"/>
      <c r="G22" s="34"/>
      <c r="H22" s="36"/>
      <c r="I22" s="36"/>
      <c r="J22" s="59"/>
      <c r="K22" s="36"/>
      <c r="L22" s="73"/>
      <c r="M22" s="34"/>
    </row>
    <row r="23" spans="1:13" ht="31.5">
      <c r="A23" s="215" t="s">
        <v>133</v>
      </c>
      <c r="B23" s="23"/>
      <c r="C23" s="286" t="s">
        <v>24</v>
      </c>
      <c r="D23" s="23"/>
      <c r="E23" s="65" t="s">
        <v>24</v>
      </c>
      <c r="F23" s="630" t="s">
        <v>24</v>
      </c>
      <c r="G23" s="630"/>
      <c r="H23" s="630"/>
      <c r="I23" s="630"/>
      <c r="J23" s="630"/>
      <c r="K23" s="90" t="s">
        <v>24</v>
      </c>
      <c r="L23" s="23"/>
      <c r="M23" s="23"/>
    </row>
    <row r="24" spans="1:13" ht="79.5" customHeight="1">
      <c r="A24" s="231" t="s">
        <v>60</v>
      </c>
      <c r="B24" s="227" t="s">
        <v>188</v>
      </c>
      <c r="C24" s="203" t="s">
        <v>83</v>
      </c>
      <c r="D24" s="203" t="s">
        <v>134</v>
      </c>
      <c r="E24" s="227" t="s">
        <v>189</v>
      </c>
      <c r="F24" s="227" t="s">
        <v>190</v>
      </c>
      <c r="G24" s="227" t="s">
        <v>218</v>
      </c>
      <c r="H24" s="227" t="s">
        <v>219</v>
      </c>
      <c r="I24" s="203" t="s">
        <v>191</v>
      </c>
      <c r="J24" s="203" t="s">
        <v>168</v>
      </c>
      <c r="K24" s="203" t="s">
        <v>160</v>
      </c>
      <c r="L24" s="23"/>
      <c r="M24" s="23"/>
    </row>
    <row r="25" spans="1:13" ht="12.75">
      <c r="A25" s="208" t="s">
        <v>39</v>
      </c>
      <c r="B25" s="208"/>
      <c r="C25" s="118">
        <f>'BRA Resource Clearing Results'!E55</f>
        <v>2249.7</v>
      </c>
      <c r="D25" s="33">
        <f>'BRA Resource Clearing Results'!C9</f>
        <v>0</v>
      </c>
      <c r="E25" s="33">
        <f>('BRA Resource Clearing Results'!C33+'BRA Resource Clearing Results'!D33)*('BRA Resource Clearing Results'!E9-'BRA Resource Clearing Results'!E7)</f>
        <v>0</v>
      </c>
      <c r="F25" s="208"/>
      <c r="G25" s="112">
        <f>'BRA Resource Clearing Results'!D33*('BRA Resource Clearing Results'!G9-'BRA Resource Clearing Results'!G7)</f>
        <v>0</v>
      </c>
      <c r="H25" s="208"/>
      <c r="I25" s="91">
        <f>'BRA Resource Clearing Results'!J77</f>
        <v>0</v>
      </c>
      <c r="J25" s="208"/>
      <c r="K25" s="208"/>
      <c r="L25" s="23"/>
      <c r="M25" s="23"/>
    </row>
    <row r="26" spans="1:13" ht="12.75">
      <c r="A26" s="208" t="s">
        <v>36</v>
      </c>
      <c r="B26" s="208"/>
      <c r="C26" s="52">
        <f>'BRA Resource Clearing Results'!E56</f>
        <v>3205.3</v>
      </c>
      <c r="D26" s="33">
        <f>'BRA Resource Clearing Results'!C9+'BRA Resource Clearing Results'!C10</f>
        <v>0</v>
      </c>
      <c r="E26" s="33">
        <f>('BRA Resource Clearing Results'!C34+'BRA Resource Clearing Results'!D34)*('BRA Resource Clearing Results'!E10-'BRA Resource Clearing Results'!E7)</f>
        <v>0</v>
      </c>
      <c r="F26" s="208"/>
      <c r="G26" s="112">
        <f>'BRA Resource Clearing Results'!D34*('BRA Resource Clearing Results'!G10-'BRA Resource Clearing Results'!G7)</f>
        <v>0</v>
      </c>
      <c r="H26" s="208"/>
      <c r="I26" s="91">
        <f>'BRA Resource Clearing Results'!J78</f>
        <v>2826.572</v>
      </c>
      <c r="J26" s="208"/>
      <c r="K26" s="208"/>
      <c r="L26" s="23"/>
      <c r="M26" s="23"/>
    </row>
    <row r="27" spans="1:13" ht="12.75">
      <c r="A27" s="74" t="s">
        <v>8</v>
      </c>
      <c r="B27" s="183">
        <f>L15</f>
        <v>116.54254657486675</v>
      </c>
      <c r="C27" s="52">
        <f>C26+C25</f>
        <v>5455</v>
      </c>
      <c r="D27" s="187">
        <f>(C26*D26+C25*D25)/C27</f>
        <v>0</v>
      </c>
      <c r="E27" s="54">
        <f>SUM(E25:E26)</f>
        <v>0</v>
      </c>
      <c r="F27" s="183">
        <f>E27/J56</f>
        <v>0</v>
      </c>
      <c r="G27" s="112">
        <f>SUM(G25:G26)</f>
        <v>0</v>
      </c>
      <c r="H27" s="183">
        <f>G27/J56</f>
        <v>0</v>
      </c>
      <c r="I27" s="91">
        <f>I25+I26</f>
        <v>2826.572</v>
      </c>
      <c r="J27" s="188">
        <f>I27/J56</f>
        <v>0.24717587501838514</v>
      </c>
      <c r="K27" s="189">
        <f>B27+D27+F27+H27+J27</f>
        <v>116.78972244988513</v>
      </c>
      <c r="L27" s="23"/>
      <c r="M27" s="23"/>
    </row>
    <row r="28" spans="1:13" ht="12.75">
      <c r="A28" s="208" t="s">
        <v>38</v>
      </c>
      <c r="B28" s="208"/>
      <c r="C28" s="47">
        <v>3401.7</v>
      </c>
      <c r="D28" s="33">
        <v>0</v>
      </c>
      <c r="E28" s="54">
        <v>0</v>
      </c>
      <c r="F28" s="54"/>
      <c r="G28" s="112">
        <v>0</v>
      </c>
      <c r="H28" s="92"/>
      <c r="I28" s="91">
        <v>0</v>
      </c>
      <c r="J28" s="208"/>
      <c r="K28" s="208"/>
      <c r="L28" s="23"/>
      <c r="M28" s="23"/>
    </row>
    <row r="29" spans="1:13" ht="12.75">
      <c r="A29" s="208" t="s">
        <v>37</v>
      </c>
      <c r="B29" s="208"/>
      <c r="C29" s="52">
        <f>'BRA Resource Clearing Results'!E35</f>
        <v>1598.5</v>
      </c>
      <c r="D29" s="93">
        <f>'BRA Resource Clearing Results'!C11</f>
        <v>0</v>
      </c>
      <c r="E29" s="54">
        <f>('BRA Resource Clearing Results'!C35+'BRA Resource Clearing Results'!D35)*('BRA Resource Clearing Results'!E11-'BRA Resource Clearing Results'!E7)</f>
        <v>0</v>
      </c>
      <c r="F29" s="208"/>
      <c r="G29" s="112">
        <f>'BRA Resource Clearing Results'!D35*('BRA Resource Clearing Results'!G11-'BRA Resource Clearing Results'!G7)</f>
        <v>0</v>
      </c>
      <c r="H29" s="208"/>
      <c r="I29" s="91">
        <f>'BRA Resource Clearing Results'!J79</f>
        <v>0</v>
      </c>
      <c r="J29" s="208"/>
      <c r="K29" s="208"/>
      <c r="L29" s="23"/>
      <c r="M29" s="23"/>
    </row>
    <row r="30" spans="1:13" ht="12.75">
      <c r="A30" s="74" t="s">
        <v>17</v>
      </c>
      <c r="B30" s="183">
        <f>L15</f>
        <v>116.54254657486675</v>
      </c>
      <c r="C30" s="47">
        <f>C28+C29</f>
        <v>5000.2</v>
      </c>
      <c r="D30" s="187">
        <f>(C29*D29+C28*D28)/C30</f>
        <v>0</v>
      </c>
      <c r="E30" s="54">
        <f>SUM(E28:E29)</f>
        <v>0</v>
      </c>
      <c r="F30" s="183">
        <f>E30/J48</f>
        <v>0</v>
      </c>
      <c r="G30" s="112">
        <f>SUM(G28:G29)</f>
        <v>0</v>
      </c>
      <c r="H30" s="183">
        <f>G30/J48</f>
        <v>0</v>
      </c>
      <c r="I30" s="91">
        <f>I28+I29</f>
        <v>0</v>
      </c>
      <c r="J30" s="188">
        <f>I30/J48</f>
        <v>0</v>
      </c>
      <c r="K30" s="189">
        <f>B30+D30+F30+H30+J30</f>
        <v>116.54254657486675</v>
      </c>
      <c r="L30" s="23"/>
      <c r="M30" s="23"/>
    </row>
    <row r="31" spans="1:13" ht="12.75">
      <c r="A31" s="208" t="s">
        <v>128</v>
      </c>
      <c r="B31" s="208"/>
      <c r="C31" s="118">
        <f>'BRA Resource Clearing Results'!E59</f>
        <v>8202.1</v>
      </c>
      <c r="D31" s="33">
        <f>'BRA Resource Clearing Results'!C13</f>
        <v>0</v>
      </c>
      <c r="E31" s="33">
        <f>('BRA Resource Clearing Results'!C37+'BRA Resource Clearing Results'!D37)*('BRA Resource Clearing Results'!E13-'BRA Resource Clearing Results'!E5)</f>
        <v>0</v>
      </c>
      <c r="F31" s="208"/>
      <c r="G31" s="112">
        <f>'BRA Resource Clearing Results'!D37*('BRA Resource Clearing Results'!G13-'BRA Resource Clearing Results'!G5)</f>
        <v>0</v>
      </c>
      <c r="H31" s="208"/>
      <c r="I31" s="91">
        <f>'BRA Resource Clearing Results'!J81</f>
        <v>0</v>
      </c>
      <c r="J31" s="208"/>
      <c r="K31" s="208"/>
      <c r="L31" s="23"/>
      <c r="M31" s="23"/>
    </row>
    <row r="32" spans="1:13" ht="12.75">
      <c r="A32" s="208" t="s">
        <v>127</v>
      </c>
      <c r="B32" s="208"/>
      <c r="C32" s="52">
        <f>'BRA Resource Clearing Results'!E60</f>
        <v>2089</v>
      </c>
      <c r="D32" s="33">
        <f>'BRA Resource Clearing Results'!C13+'BRA Resource Clearing Results'!C14</f>
        <v>0</v>
      </c>
      <c r="E32" s="33">
        <f>('BRA Resource Clearing Results'!C38+'BRA Resource Clearing Results'!D38)*('BRA Resource Clearing Results'!E14-'BRA Resource Clearing Results'!E5)</f>
        <v>0</v>
      </c>
      <c r="F32" s="208"/>
      <c r="G32" s="112">
        <f>'BRA Resource Clearing Results'!D38*('BRA Resource Clearing Results'!G14-'BRA Resource Clearing Results'!G5)</f>
        <v>0</v>
      </c>
      <c r="H32" s="208"/>
      <c r="I32" s="91">
        <f>'BRA Resource Clearing Results'!J82</f>
        <v>0</v>
      </c>
      <c r="J32" s="208"/>
      <c r="K32" s="208"/>
      <c r="L32" s="23"/>
      <c r="M32" s="23"/>
    </row>
    <row r="33" spans="1:13" ht="12.75">
      <c r="A33" s="74" t="s">
        <v>45</v>
      </c>
      <c r="B33" s="183">
        <f>L13</f>
        <v>96.77254657486675</v>
      </c>
      <c r="C33" s="52">
        <f>C32+C31</f>
        <v>10291.1</v>
      </c>
      <c r="D33" s="187">
        <f>(C32*D32+C31*D31)/C33</f>
        <v>0</v>
      </c>
      <c r="E33" s="54">
        <f>SUM(E31:E32)</f>
        <v>0</v>
      </c>
      <c r="F33" s="183">
        <f>E33/J41</f>
        <v>0</v>
      </c>
      <c r="G33" s="112">
        <f>SUM(G31:G32)</f>
        <v>0</v>
      </c>
      <c r="H33" s="183">
        <f>G33/J41</f>
        <v>0</v>
      </c>
      <c r="I33" s="91">
        <f>I31+I32</f>
        <v>0</v>
      </c>
      <c r="J33" s="188">
        <f>I33/J41</f>
        <v>0</v>
      </c>
      <c r="K33" s="189">
        <f>B33+D33+F33+H33+J33</f>
        <v>96.77254657486675</v>
      </c>
      <c r="L33" s="23"/>
      <c r="M33" s="23"/>
    </row>
    <row r="34" spans="1:13" ht="12.75" customHeight="1">
      <c r="A34" s="117" t="s">
        <v>164</v>
      </c>
      <c r="B34" s="117"/>
      <c r="C34" s="94"/>
      <c r="D34" s="94"/>
      <c r="E34" s="94"/>
      <c r="F34" s="94"/>
      <c r="G34" s="115"/>
      <c r="H34" s="23"/>
      <c r="I34" s="23"/>
      <c r="J34" s="23"/>
      <c r="K34" s="23"/>
      <c r="L34" s="23"/>
      <c r="M34" s="23"/>
    </row>
    <row r="35" spans="1:13" ht="12.75">
      <c r="A35" s="34"/>
      <c r="B35" s="38"/>
      <c r="C35" s="38"/>
      <c r="D35" s="38" t="s">
        <v>24</v>
      </c>
      <c r="E35" s="50"/>
      <c r="F35" s="95" t="s">
        <v>24</v>
      </c>
      <c r="G35" s="86"/>
      <c r="H35" s="86"/>
      <c r="I35" s="86"/>
      <c r="J35" s="86"/>
      <c r="K35" s="86"/>
      <c r="L35" s="96"/>
      <c r="M35" s="23"/>
    </row>
    <row r="36" spans="1:13" s="2" customFormat="1" ht="18">
      <c r="A36" s="225" t="s">
        <v>41</v>
      </c>
      <c r="B36" s="109"/>
      <c r="C36" s="23"/>
      <c r="D36" s="23"/>
      <c r="E36" s="97"/>
      <c r="F36" s="97"/>
      <c r="G36" s="97"/>
      <c r="H36" s="97"/>
      <c r="I36" s="97"/>
      <c r="J36" s="97"/>
      <c r="K36" s="97"/>
      <c r="L36" s="110"/>
      <c r="M36" s="23"/>
    </row>
    <row r="37" spans="1:12" ht="54.75" customHeight="1">
      <c r="A37" s="201" t="s">
        <v>7</v>
      </c>
      <c r="B37" s="201" t="s">
        <v>28</v>
      </c>
      <c r="C37" s="201" t="s">
        <v>27</v>
      </c>
      <c r="D37" s="201" t="s">
        <v>33</v>
      </c>
      <c r="E37" s="201" t="s">
        <v>226</v>
      </c>
      <c r="F37" s="201" t="s">
        <v>22</v>
      </c>
      <c r="G37" s="201" t="s">
        <v>227</v>
      </c>
      <c r="H37" s="216" t="s">
        <v>23</v>
      </c>
      <c r="I37" s="216" t="s">
        <v>25</v>
      </c>
      <c r="J37" s="267" t="s">
        <v>26</v>
      </c>
      <c r="K37" s="217" t="s">
        <v>34</v>
      </c>
      <c r="L37" s="201" t="s">
        <v>7</v>
      </c>
    </row>
    <row r="38" spans="1:12" ht="12.75">
      <c r="A38" s="208" t="s">
        <v>16</v>
      </c>
      <c r="B38" s="101" t="s">
        <v>29</v>
      </c>
      <c r="C38" s="101" t="s">
        <v>35</v>
      </c>
      <c r="D38" s="101"/>
      <c r="E38" s="218">
        <v>2450</v>
      </c>
      <c r="F38" s="103">
        <f>G38/E38</f>
        <v>0.9979591836734694</v>
      </c>
      <c r="G38" s="104">
        <v>2445</v>
      </c>
      <c r="H38" s="103">
        <f>$B$8</f>
        <v>1.0650157273271732</v>
      </c>
      <c r="I38" s="103">
        <f aca="true" t="shared" si="2" ref="I38:I57">H38*F38</f>
        <v>1.062842225842832</v>
      </c>
      <c r="J38" s="268">
        <f aca="true" t="shared" si="3" ref="J38:J57">E38*I38*$B$6</f>
        <v>2833.372633551985</v>
      </c>
      <c r="K38" s="219">
        <f>L15</f>
        <v>116.54254657486675</v>
      </c>
      <c r="L38" s="208" t="s">
        <v>16</v>
      </c>
    </row>
    <row r="39" spans="1:12" ht="12.75">
      <c r="A39" s="24" t="s">
        <v>135</v>
      </c>
      <c r="B39" s="101"/>
      <c r="C39" s="101"/>
      <c r="D39" s="101"/>
      <c r="E39" s="218">
        <v>10661.3</v>
      </c>
      <c r="F39" s="103">
        <v>1.0274113952445043</v>
      </c>
      <c r="G39" s="104">
        <f>E39*F39</f>
        <v>10953.541108120233</v>
      </c>
      <c r="H39" s="103">
        <f aca="true" t="shared" si="4" ref="H39:H45">$B$8</f>
        <v>1.0650157273271732</v>
      </c>
      <c r="I39" s="103">
        <f t="shared" si="2"/>
        <v>1.0942092943705515</v>
      </c>
      <c r="J39" s="268">
        <f t="shared" si="3"/>
        <v>12693.441151834171</v>
      </c>
      <c r="K39" s="219">
        <f>L13</f>
        <v>96.77254657486675</v>
      </c>
      <c r="L39" s="208" t="s">
        <v>135</v>
      </c>
    </row>
    <row r="40" spans="1:12" ht="12.75">
      <c r="A40" s="208" t="s">
        <v>19</v>
      </c>
      <c r="B40" s="101" t="s">
        <v>24</v>
      </c>
      <c r="C40" s="101"/>
      <c r="D40" s="101"/>
      <c r="E40" s="218">
        <v>8350</v>
      </c>
      <c r="F40" s="103">
        <f aca="true" t="shared" si="5" ref="F40:F57">G40/E40</f>
        <v>1.0647904191616766</v>
      </c>
      <c r="G40" s="104">
        <v>8891</v>
      </c>
      <c r="H40" s="103">
        <f t="shared" si="4"/>
        <v>1.0650157273271732</v>
      </c>
      <c r="I40" s="103">
        <f t="shared" si="2"/>
        <v>1.1340185427144787</v>
      </c>
      <c r="J40" s="268">
        <f t="shared" si="3"/>
        <v>10303.278562335663</v>
      </c>
      <c r="K40" s="219">
        <f>L13</f>
        <v>96.77254657486675</v>
      </c>
      <c r="L40" s="208" t="s">
        <v>19</v>
      </c>
    </row>
    <row r="41" spans="1:12" ht="12.75">
      <c r="A41" s="208" t="s">
        <v>45</v>
      </c>
      <c r="B41" s="101"/>
      <c r="C41" s="101"/>
      <c r="D41" s="101" t="s">
        <v>45</v>
      </c>
      <c r="E41" s="218">
        <v>12640</v>
      </c>
      <c r="F41" s="103">
        <f t="shared" si="5"/>
        <v>0.9981803797468355</v>
      </c>
      <c r="G41" s="104">
        <v>12617</v>
      </c>
      <c r="H41" s="103">
        <f t="shared" si="4"/>
        <v>1.0650157273271732</v>
      </c>
      <c r="I41" s="103">
        <f t="shared" si="2"/>
        <v>1.0630778031397898</v>
      </c>
      <c r="J41" s="268">
        <f t="shared" si="3"/>
        <v>14621.129864018563</v>
      </c>
      <c r="K41" s="219">
        <f>K33</f>
        <v>96.77254657486675</v>
      </c>
      <c r="L41" s="208" t="s">
        <v>45</v>
      </c>
    </row>
    <row r="42" spans="1:12" ht="12.75">
      <c r="A42" s="208" t="s">
        <v>11</v>
      </c>
      <c r="B42" s="101" t="s">
        <v>29</v>
      </c>
      <c r="C42" s="101" t="s">
        <v>5</v>
      </c>
      <c r="D42" s="101" t="s">
        <v>11</v>
      </c>
      <c r="E42" s="218">
        <v>6490</v>
      </c>
      <c r="F42" s="103">
        <f t="shared" si="5"/>
        <v>1.0412942989214176</v>
      </c>
      <c r="G42" s="104">
        <v>6758</v>
      </c>
      <c r="H42" s="103">
        <f t="shared" si="4"/>
        <v>1.0650157273271732</v>
      </c>
      <c r="I42" s="103">
        <f t="shared" si="2"/>
        <v>1.1089948051274325</v>
      </c>
      <c r="J42" s="268">
        <f t="shared" si="3"/>
        <v>7831.465136009944</v>
      </c>
      <c r="K42" s="219">
        <f>L19</f>
        <v>97.07254657486675</v>
      </c>
      <c r="L42" s="208" t="s">
        <v>11</v>
      </c>
    </row>
    <row r="43" spans="1:12" ht="12.75">
      <c r="A43" s="208" t="s">
        <v>20</v>
      </c>
      <c r="B43" s="101"/>
      <c r="C43" s="101"/>
      <c r="D43" s="101" t="s">
        <v>20</v>
      </c>
      <c r="E43" s="218">
        <v>20900</v>
      </c>
      <c r="F43" s="103">
        <f t="shared" si="5"/>
        <v>1.0456937799043062</v>
      </c>
      <c r="G43" s="104">
        <v>21855</v>
      </c>
      <c r="H43" s="103">
        <f t="shared" si="4"/>
        <v>1.0650157273271732</v>
      </c>
      <c r="I43" s="103">
        <f t="shared" si="2"/>
        <v>1.1136803215662856</v>
      </c>
      <c r="J43" s="268">
        <f t="shared" si="3"/>
        <v>25326.527160032154</v>
      </c>
      <c r="K43" s="219">
        <f>L18</f>
        <v>199.54254657486675</v>
      </c>
      <c r="L43" s="208" t="s">
        <v>20</v>
      </c>
    </row>
    <row r="44" spans="1:12" ht="12.75">
      <c r="A44" s="208" t="s">
        <v>21</v>
      </c>
      <c r="B44" s="101"/>
      <c r="C44" s="101"/>
      <c r="D44" s="101"/>
      <c r="E44" s="218">
        <v>3170</v>
      </c>
      <c r="F44" s="103">
        <f t="shared" si="5"/>
        <v>1.0548895899053627</v>
      </c>
      <c r="G44" s="104">
        <v>3344</v>
      </c>
      <c r="H44" s="103">
        <f t="shared" si="4"/>
        <v>1.0650157273271732</v>
      </c>
      <c r="I44" s="103">
        <f t="shared" si="2"/>
        <v>1.1234740038429234</v>
      </c>
      <c r="J44" s="268">
        <f t="shared" si="3"/>
        <v>3875.1730415533075</v>
      </c>
      <c r="K44" s="219">
        <f>L13</f>
        <v>96.77254657486675</v>
      </c>
      <c r="L44" s="208" t="s">
        <v>21</v>
      </c>
    </row>
    <row r="45" spans="1:12" ht="12.75">
      <c r="A45" s="208" t="s">
        <v>136</v>
      </c>
      <c r="B45" s="101"/>
      <c r="C45" s="101"/>
      <c r="D45" s="101"/>
      <c r="E45" s="218">
        <v>4277.9</v>
      </c>
      <c r="F45" s="103">
        <v>1.0578740157480315</v>
      </c>
      <c r="G45" s="104">
        <f>E45*F45</f>
        <v>4525.479251968503</v>
      </c>
      <c r="H45" s="103">
        <f t="shared" si="4"/>
        <v>1.0650157273271732</v>
      </c>
      <c r="I45" s="103">
        <f t="shared" si="2"/>
        <v>1.1266524643024072</v>
      </c>
      <c r="J45" s="268">
        <f t="shared" si="3"/>
        <v>5244.322726476427</v>
      </c>
      <c r="K45" s="219">
        <f>L13</f>
        <v>96.77254657486675</v>
      </c>
      <c r="L45" s="208" t="s">
        <v>136</v>
      </c>
    </row>
    <row r="46" spans="1:12" ht="12.75">
      <c r="A46" s="208" t="s">
        <v>44</v>
      </c>
      <c r="B46" s="101"/>
      <c r="C46" s="101"/>
      <c r="D46" s="101"/>
      <c r="E46" s="218">
        <v>2780</v>
      </c>
      <c r="F46" s="103">
        <f t="shared" si="5"/>
        <v>1.016906474820144</v>
      </c>
      <c r="G46" s="104">
        <v>2827</v>
      </c>
      <c r="H46" s="103">
        <f aca="true" t="shared" si="6" ref="H46:H57">$B$8</f>
        <v>1.0650157273271732</v>
      </c>
      <c r="I46" s="103">
        <f t="shared" si="2"/>
        <v>1.0830213889042875</v>
      </c>
      <c r="J46" s="268">
        <f t="shared" si="3"/>
        <v>3276.05089368158</v>
      </c>
      <c r="K46" s="219">
        <f>L13</f>
        <v>96.77254657486675</v>
      </c>
      <c r="L46" s="208" t="s">
        <v>44</v>
      </c>
    </row>
    <row r="47" spans="1:12" ht="12.75">
      <c r="A47" s="208" t="s">
        <v>31</v>
      </c>
      <c r="B47" s="101"/>
      <c r="C47" s="101"/>
      <c r="D47" s="101"/>
      <c r="E47" s="218">
        <v>18350</v>
      </c>
      <c r="F47" s="103">
        <f t="shared" si="5"/>
        <v>1.0955858310626703</v>
      </c>
      <c r="G47" s="104">
        <v>20104</v>
      </c>
      <c r="H47" s="103">
        <f t="shared" si="6"/>
        <v>1.0650157273271732</v>
      </c>
      <c r="I47" s="103">
        <f t="shared" si="2"/>
        <v>1.1668161407185553</v>
      </c>
      <c r="J47" s="268">
        <f t="shared" si="3"/>
        <v>23297.391993836034</v>
      </c>
      <c r="K47" s="219">
        <f>L13</f>
        <v>96.77254657486675</v>
      </c>
      <c r="L47" s="208" t="s">
        <v>31</v>
      </c>
    </row>
    <row r="48" spans="1:12" ht="12.75">
      <c r="A48" s="208" t="s">
        <v>17</v>
      </c>
      <c r="B48" s="101" t="s">
        <v>29</v>
      </c>
      <c r="C48" s="101" t="s">
        <v>35</v>
      </c>
      <c r="D48" s="101" t="s">
        <v>17</v>
      </c>
      <c r="E48" s="218">
        <v>3750</v>
      </c>
      <c r="F48" s="103">
        <f t="shared" si="5"/>
        <v>1.0442666666666667</v>
      </c>
      <c r="G48" s="104">
        <v>3916</v>
      </c>
      <c r="H48" s="103">
        <f t="shared" si="6"/>
        <v>1.0650157273271732</v>
      </c>
      <c r="I48" s="103">
        <f t="shared" si="2"/>
        <v>1.1121604235235227</v>
      </c>
      <c r="J48" s="268">
        <f t="shared" si="3"/>
        <v>4538.031588134795</v>
      </c>
      <c r="K48" s="219">
        <f>K30</f>
        <v>116.54254657486675</v>
      </c>
      <c r="L48" s="208" t="s">
        <v>17</v>
      </c>
    </row>
    <row r="49" spans="1:12" ht="12.75">
      <c r="A49" s="208" t="s">
        <v>137</v>
      </c>
      <c r="B49" s="101"/>
      <c r="C49" s="101"/>
      <c r="D49" s="101"/>
      <c r="E49" s="218">
        <v>2034.6</v>
      </c>
      <c r="F49" s="103">
        <v>1.0415449055133452</v>
      </c>
      <c r="G49" s="104">
        <f>E49*F49</f>
        <v>2119.127264757452</v>
      </c>
      <c r="H49" s="103">
        <f t="shared" si="6"/>
        <v>1.0650157273271732</v>
      </c>
      <c r="I49" s="103">
        <f t="shared" si="2"/>
        <v>1.1092617050892073</v>
      </c>
      <c r="J49" s="268">
        <f t="shared" si="3"/>
        <v>2455.7370956963746</v>
      </c>
      <c r="K49" s="219">
        <f>L13</f>
        <v>96.77254657486675</v>
      </c>
      <c r="L49" s="208" t="s">
        <v>137</v>
      </c>
    </row>
    <row r="50" spans="1:12" ht="12.75">
      <c r="A50" s="208" t="s">
        <v>12</v>
      </c>
      <c r="B50" s="101" t="s">
        <v>29</v>
      </c>
      <c r="C50" s="101" t="s">
        <v>35</v>
      </c>
      <c r="D50" s="101"/>
      <c r="E50" s="218">
        <v>5740</v>
      </c>
      <c r="F50" s="103">
        <f t="shared" si="5"/>
        <v>1.0263066202090592</v>
      </c>
      <c r="G50" s="104">
        <v>5891</v>
      </c>
      <c r="H50" s="103">
        <f t="shared" si="6"/>
        <v>1.0650157273271732</v>
      </c>
      <c r="I50" s="103">
        <f t="shared" si="2"/>
        <v>1.093032691582644</v>
      </c>
      <c r="J50" s="268">
        <f t="shared" si="3"/>
        <v>6826.747723621571</v>
      </c>
      <c r="K50" s="219">
        <f>L15</f>
        <v>116.54254657486675</v>
      </c>
      <c r="L50" s="208" t="s">
        <v>12</v>
      </c>
    </row>
    <row r="51" spans="1:12" ht="12.75">
      <c r="A51" s="208" t="s">
        <v>13</v>
      </c>
      <c r="B51" s="101" t="s">
        <v>29</v>
      </c>
      <c r="C51" s="101"/>
      <c r="D51" s="101"/>
      <c r="E51" s="218">
        <v>2800</v>
      </c>
      <c r="F51" s="103">
        <f t="shared" si="5"/>
        <v>1.0489285714285714</v>
      </c>
      <c r="G51" s="104">
        <v>2937</v>
      </c>
      <c r="H51" s="103">
        <f t="shared" si="6"/>
        <v>1.0650157273271732</v>
      </c>
      <c r="I51" s="103">
        <f t="shared" si="2"/>
        <v>1.1171254254142529</v>
      </c>
      <c r="J51" s="268">
        <f t="shared" si="3"/>
        <v>3403.523691101096</v>
      </c>
      <c r="K51" s="219">
        <f>L14</f>
        <v>96.77254657486675</v>
      </c>
      <c r="L51" s="208" t="s">
        <v>13</v>
      </c>
    </row>
    <row r="52" spans="1:12" ht="12.75">
      <c r="A52" s="208" t="s">
        <v>9</v>
      </c>
      <c r="B52" s="101" t="s">
        <v>29</v>
      </c>
      <c r="C52" s="101" t="s">
        <v>35</v>
      </c>
      <c r="D52" s="101"/>
      <c r="E52" s="218">
        <v>8060</v>
      </c>
      <c r="F52" s="103">
        <f t="shared" si="5"/>
        <v>1.0542183622828785</v>
      </c>
      <c r="G52" s="104">
        <v>8497</v>
      </c>
      <c r="H52" s="103">
        <f t="shared" si="6"/>
        <v>1.0650157273271732</v>
      </c>
      <c r="I52" s="103">
        <f t="shared" si="2"/>
        <v>1.1227591358683613</v>
      </c>
      <c r="J52" s="268">
        <f t="shared" si="3"/>
        <v>9846.694178851214</v>
      </c>
      <c r="K52" s="219">
        <f>L15</f>
        <v>116.54254657486675</v>
      </c>
      <c r="L52" s="208" t="s">
        <v>9</v>
      </c>
    </row>
    <row r="53" spans="1:12" ht="12.75">
      <c r="A53" s="208" t="s">
        <v>14</v>
      </c>
      <c r="B53" s="101" t="s">
        <v>29</v>
      </c>
      <c r="C53" s="101"/>
      <c r="D53" s="101"/>
      <c r="E53" s="218">
        <v>2870</v>
      </c>
      <c r="F53" s="103">
        <f t="shared" si="5"/>
        <v>0.9682926829268292</v>
      </c>
      <c r="G53" s="104">
        <v>2779</v>
      </c>
      <c r="H53" s="103">
        <f t="shared" si="6"/>
        <v>1.0650157273271732</v>
      </c>
      <c r="I53" s="103">
        <f t="shared" si="2"/>
        <v>1.0312469359728968</v>
      </c>
      <c r="J53" s="268">
        <f t="shared" si="3"/>
        <v>3220.4264002621535</v>
      </c>
      <c r="K53" s="219">
        <f>L14</f>
        <v>96.77254657486675</v>
      </c>
      <c r="L53" s="208" t="s">
        <v>14</v>
      </c>
    </row>
    <row r="54" spans="1:12" ht="12.75">
      <c r="A54" s="208" t="s">
        <v>15</v>
      </c>
      <c r="B54" s="101" t="s">
        <v>29</v>
      </c>
      <c r="C54" s="101" t="s">
        <v>5</v>
      </c>
      <c r="D54" s="101" t="s">
        <v>15</v>
      </c>
      <c r="E54" s="218">
        <v>5910</v>
      </c>
      <c r="F54" s="103">
        <f t="shared" si="5"/>
        <v>1.0807106598984773</v>
      </c>
      <c r="G54" s="104">
        <v>6387</v>
      </c>
      <c r="H54" s="103">
        <f t="shared" si="6"/>
        <v>1.0650157273271732</v>
      </c>
      <c r="I54" s="103">
        <f t="shared" si="2"/>
        <v>1.150973849482006</v>
      </c>
      <c r="J54" s="268">
        <f t="shared" si="3"/>
        <v>7401.534155622302</v>
      </c>
      <c r="K54" s="219">
        <f>L17</f>
        <v>91.64452119499754</v>
      </c>
      <c r="L54" s="208" t="s">
        <v>15</v>
      </c>
    </row>
    <row r="55" spans="1:12" ht="12.75">
      <c r="A55" s="208" t="s">
        <v>10</v>
      </c>
      <c r="B55" s="101" t="s">
        <v>29</v>
      </c>
      <c r="C55" s="101"/>
      <c r="D55" s="101" t="s">
        <v>10</v>
      </c>
      <c r="E55" s="218">
        <v>6960</v>
      </c>
      <c r="F55" s="103">
        <f t="shared" si="5"/>
        <v>1.0439655172413793</v>
      </c>
      <c r="G55" s="104">
        <v>7266</v>
      </c>
      <c r="H55" s="103">
        <f t="shared" si="6"/>
        <v>1.0650157273271732</v>
      </c>
      <c r="I55" s="103">
        <f t="shared" si="2"/>
        <v>1.111839694649316</v>
      </c>
      <c r="J55" s="268">
        <f t="shared" si="3"/>
        <v>8420.15769136553</v>
      </c>
      <c r="K55" s="219">
        <f>L20</f>
        <v>96.77254657486675</v>
      </c>
      <c r="L55" s="208" t="s">
        <v>10</v>
      </c>
    </row>
    <row r="56" spans="1:12" ht="12.75">
      <c r="A56" s="208" t="s">
        <v>8</v>
      </c>
      <c r="B56" s="101" t="s">
        <v>29</v>
      </c>
      <c r="C56" s="101" t="s">
        <v>35</v>
      </c>
      <c r="D56" s="101" t="s">
        <v>8</v>
      </c>
      <c r="E56" s="218">
        <v>9490</v>
      </c>
      <c r="F56" s="103">
        <f t="shared" si="5"/>
        <v>1.039831401475237</v>
      </c>
      <c r="G56" s="104">
        <v>9868</v>
      </c>
      <c r="H56" s="103">
        <f t="shared" si="6"/>
        <v>1.0650157273271732</v>
      </c>
      <c r="I56" s="103">
        <f t="shared" si="2"/>
        <v>1.1074367963397833</v>
      </c>
      <c r="J56" s="268">
        <f t="shared" si="3"/>
        <v>11435.46877214355</v>
      </c>
      <c r="K56" s="219">
        <f>K27</f>
        <v>116.78972244988513</v>
      </c>
      <c r="L56" s="208" t="s">
        <v>8</v>
      </c>
    </row>
    <row r="57" spans="1:12" ht="12.75">
      <c r="A57" s="208" t="s">
        <v>18</v>
      </c>
      <c r="B57" s="101" t="s">
        <v>29</v>
      </c>
      <c r="C57" s="101" t="s">
        <v>35</v>
      </c>
      <c r="D57" s="101"/>
      <c r="E57" s="218">
        <v>385</v>
      </c>
      <c r="F57" s="103">
        <f t="shared" si="5"/>
        <v>1.0207792207792208</v>
      </c>
      <c r="G57" s="104">
        <v>393</v>
      </c>
      <c r="H57" s="103">
        <f t="shared" si="6"/>
        <v>1.0650157273271732</v>
      </c>
      <c r="I57" s="103">
        <f t="shared" si="2"/>
        <v>1.087145924258647</v>
      </c>
      <c r="J57" s="268">
        <f t="shared" si="3"/>
        <v>455.42553987154605</v>
      </c>
      <c r="K57" s="219">
        <f>L15</f>
        <v>116.54254657486675</v>
      </c>
      <c r="L57" s="208" t="s">
        <v>18</v>
      </c>
    </row>
    <row r="58" spans="1:12" ht="12.75">
      <c r="A58" s="107" t="s">
        <v>73</v>
      </c>
      <c r="B58" s="25"/>
      <c r="C58" s="34"/>
      <c r="D58" s="34"/>
      <c r="E58" s="220">
        <f>SUM(E38:E57)</f>
        <v>138068.8</v>
      </c>
      <c r="F58" s="221"/>
      <c r="G58" s="222">
        <f>SUM(G38:G57)</f>
        <v>144373.1476248462</v>
      </c>
      <c r="H58" s="74"/>
      <c r="I58" s="74"/>
      <c r="J58" s="223">
        <f>SUM(J38:J57)</f>
        <v>167305.89999999997</v>
      </c>
      <c r="K58" s="224"/>
      <c r="L58" s="208"/>
    </row>
    <row r="59" spans="1:13" ht="12.75">
      <c r="A59" s="107" t="s">
        <v>138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23"/>
    </row>
    <row r="60" spans="1:13" ht="30.75" customHeight="1">
      <c r="A60" s="629" t="s">
        <v>24</v>
      </c>
      <c r="B60" s="629"/>
      <c r="C60" s="629"/>
      <c r="D60" s="629"/>
      <c r="E60" s="629"/>
      <c r="F60" s="629"/>
      <c r="G60" s="629"/>
      <c r="H60" s="629"/>
      <c r="I60" s="629"/>
      <c r="J60" s="629"/>
      <c r="K60" s="629"/>
      <c r="L60" s="629"/>
      <c r="M60" s="23"/>
    </row>
    <row r="61" spans="1:10" ht="12.75">
      <c r="A61" s="9"/>
      <c r="C61" s="5"/>
      <c r="D61" s="5"/>
      <c r="E61" s="8"/>
      <c r="F61" s="5"/>
      <c r="G61" s="5"/>
      <c r="I61" s="5"/>
      <c r="J61" s="5" t="s">
        <v>24</v>
      </c>
    </row>
    <row r="62" spans="1:11" ht="12.75">
      <c r="A62" s="9"/>
      <c r="C62" s="5"/>
      <c r="D62" s="5"/>
      <c r="E62" s="8"/>
      <c r="F62" s="5"/>
      <c r="G62" s="5" t="s">
        <v>24</v>
      </c>
      <c r="H62" s="12" t="s">
        <v>24</v>
      </c>
      <c r="I62" s="5"/>
      <c r="J62" s="5"/>
      <c r="K62" s="113"/>
    </row>
    <row r="63" ht="12.75">
      <c r="H63" s="12"/>
    </row>
    <row r="64" spans="1:8" ht="15">
      <c r="A64" s="17"/>
      <c r="H64" s="12"/>
    </row>
    <row r="65" ht="12.75">
      <c r="H65" s="12"/>
    </row>
    <row r="75" ht="12.75">
      <c r="B75" s="4" t="s">
        <v>24</v>
      </c>
    </row>
    <row r="76" ht="12.75">
      <c r="B76" s="4" t="s">
        <v>24</v>
      </c>
    </row>
    <row r="77" spans="2:4" ht="12.75">
      <c r="B77" s="4" t="s">
        <v>24</v>
      </c>
      <c r="C77" s="4" t="s">
        <v>24</v>
      </c>
      <c r="D77" s="4" t="s">
        <v>24</v>
      </c>
    </row>
    <row r="78" ht="12.75">
      <c r="B78" s="4" t="s">
        <v>24</v>
      </c>
    </row>
    <row r="79" ht="12.75">
      <c r="B79" s="4" t="s">
        <v>24</v>
      </c>
    </row>
    <row r="80" ht="12.75">
      <c r="B80" s="4" t="s">
        <v>24</v>
      </c>
    </row>
  </sheetData>
  <sheetProtection/>
  <mergeCells count="2">
    <mergeCell ref="A60:L60"/>
    <mergeCell ref="F23:J23"/>
  </mergeCells>
  <printOptions/>
  <pageMargins left="0.45" right="0.45" top="0.5" bottom="0.5" header="0.3" footer="0.3"/>
  <pageSetup fitToHeight="1" fitToWidth="1" horizontalDpi="600" verticalDpi="600" orientation="landscape" paperSize="17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3" width="12.7109375" style="0" customWidth="1"/>
    <col min="4" max="4" width="15.421875" style="0" customWidth="1"/>
    <col min="5" max="10" width="15.7109375" style="0" customWidth="1"/>
    <col min="11" max="11" width="17.28125" style="0" bestFit="1" customWidth="1"/>
    <col min="12" max="26" width="15.7109375" style="0" customWidth="1"/>
    <col min="27" max="27" width="17.28125" style="0" customWidth="1"/>
    <col min="28" max="28" width="15.7109375" style="0" customWidth="1"/>
  </cols>
  <sheetData>
    <row r="1" spans="1:25" ht="18.75">
      <c r="A1" s="119" t="s">
        <v>223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9.5" thickBot="1">
      <c r="A2" s="1" t="s">
        <v>24</v>
      </c>
      <c r="B2" s="4"/>
      <c r="C2" s="4"/>
      <c r="D2" s="14" t="s">
        <v>24</v>
      </c>
      <c r="E2" s="5" t="s">
        <v>24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ht="16.5" thickBot="1">
      <c r="A3" s="200" t="s">
        <v>68</v>
      </c>
      <c r="B3" s="108"/>
      <c r="C3" s="108"/>
      <c r="D3" s="287" t="s">
        <v>24</v>
      </c>
      <c r="E3" s="287"/>
      <c r="F3" s="288"/>
      <c r="G3" s="23"/>
      <c r="H3" s="120" t="s">
        <v>24</v>
      </c>
      <c r="I3" s="121"/>
      <c r="J3" s="266" t="s">
        <v>24</v>
      </c>
      <c r="K3" s="120"/>
      <c r="L3" s="120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120"/>
      <c r="Z3" s="23"/>
      <c r="AA3" s="23"/>
      <c r="AB3" s="23"/>
    </row>
    <row r="4" spans="1:27" ht="114.75">
      <c r="A4" s="260" t="s">
        <v>3</v>
      </c>
      <c r="B4" s="261" t="s">
        <v>69</v>
      </c>
      <c r="C4" s="261" t="s">
        <v>70</v>
      </c>
      <c r="D4" s="261" t="s">
        <v>93</v>
      </c>
      <c r="E4" s="123" t="s">
        <v>71</v>
      </c>
      <c r="F4" s="123" t="s">
        <v>115</v>
      </c>
      <c r="G4" s="123" t="s">
        <v>79</v>
      </c>
      <c r="H4" s="123" t="s">
        <v>116</v>
      </c>
      <c r="I4" s="259" t="s">
        <v>120</v>
      </c>
      <c r="J4" s="30"/>
      <c r="K4" s="23"/>
      <c r="L4" s="23"/>
      <c r="M4" s="30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ht="12.75">
      <c r="A5" s="125" t="s">
        <v>29</v>
      </c>
      <c r="B5" s="46">
        <f>'BRA Load Pricing Results'!B14</f>
        <v>66212.84751053568</v>
      </c>
      <c r="C5" s="46">
        <f>'BRA Resource Clearing Results'!E30</f>
        <v>64915</v>
      </c>
      <c r="D5" s="104">
        <f>B5-C5</f>
        <v>1297.8475105356774</v>
      </c>
      <c r="E5" s="126">
        <f>'BRA Resource Clearing Results'!B95</f>
        <v>0</v>
      </c>
      <c r="F5" s="52">
        <f aca="true" t="shared" si="0" ref="F5:F14">D5-E5</f>
        <v>1297.8475105356774</v>
      </c>
      <c r="G5" s="52">
        <f>'BRA ICTRs'!C27</f>
        <v>710.2331161949842</v>
      </c>
      <c r="H5" s="52">
        <f>'BRA ICTRs'!C13+'BRA ICTRs'!C20</f>
        <v>587.6143943406933</v>
      </c>
      <c r="I5" s="191">
        <f>F5-G5-H5</f>
        <v>0</v>
      </c>
      <c r="J5" s="204"/>
      <c r="K5" s="23"/>
      <c r="L5" s="23"/>
      <c r="M5" s="38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ht="12.75">
      <c r="A6" s="125" t="s">
        <v>35</v>
      </c>
      <c r="B6" s="46">
        <f>'BRA Load Pricing Results'!B15</f>
        <v>35935.74043617466</v>
      </c>
      <c r="C6" s="46">
        <f>'BRA Resource Clearing Results'!E31</f>
        <v>30769.3</v>
      </c>
      <c r="D6" s="104">
        <f>B6-C6-26.2</f>
        <v>5140.24043617466</v>
      </c>
      <c r="E6" s="126">
        <f>'BRA Resource Clearing Results'!B96</f>
        <v>0</v>
      </c>
      <c r="F6" s="52">
        <f t="shared" si="0"/>
        <v>5140.24043617466</v>
      </c>
      <c r="G6" s="126">
        <v>0</v>
      </c>
      <c r="H6" s="52">
        <f>'BRA ICTRs'!D13+'BRA ICTRs'!D20</f>
        <v>898</v>
      </c>
      <c r="I6" s="190">
        <f>F6-G6-H6</f>
        <v>4242.24043617466</v>
      </c>
      <c r="J6" s="204"/>
      <c r="K6" s="23"/>
      <c r="L6" s="23"/>
      <c r="M6" s="38" t="s">
        <v>24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ht="12.75">
      <c r="A7" s="125" t="s">
        <v>5</v>
      </c>
      <c r="B7" s="46">
        <f>'BRA Load Pricing Results'!B16</f>
        <v>15232.999291632246</v>
      </c>
      <c r="C7" s="46">
        <f>'BRA Resource Clearing Results'!E32</f>
        <v>11394.599999999999</v>
      </c>
      <c r="D7" s="104">
        <f>B7-C7</f>
        <v>3838.3992916322477</v>
      </c>
      <c r="E7" s="126">
        <f>'BRA Resource Clearing Results'!B97</f>
        <v>0</v>
      </c>
      <c r="F7" s="52">
        <f t="shared" si="0"/>
        <v>3838.3992916322477</v>
      </c>
      <c r="G7" s="126">
        <f>'BRA ICTRs'!E27</f>
        <v>0</v>
      </c>
      <c r="H7" s="52">
        <f>'BRA ICTRs'!E13+'BRA ICTRs'!E20</f>
        <v>1044</v>
      </c>
      <c r="I7" s="190">
        <f>F7-G7-H7</f>
        <v>2794.3992916322477</v>
      </c>
      <c r="J7" s="204"/>
      <c r="K7" s="23"/>
      <c r="L7" s="23"/>
      <c r="M7" s="38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ht="12.75">
      <c r="A8" s="125" t="s">
        <v>42</v>
      </c>
      <c r="B8" s="46">
        <f>'BRA Load Pricing Results'!J56</f>
        <v>11435.46877214355</v>
      </c>
      <c r="C8" s="46">
        <f>'BRA Load Pricing Results'!C27</f>
        <v>5455</v>
      </c>
      <c r="D8" s="104">
        <f>B8-C8</f>
        <v>5980.468772143549</v>
      </c>
      <c r="E8" s="126">
        <f>IF('BRA Resource Clearing Results'!D98+'BRA Resource Clearing Results'!D99=0,0,('BRA Resource Clearing Results'!D98+'BRA Resource Clearing Results'!D99)/'BRA Load Pricing Results'!D27)</f>
        <v>0</v>
      </c>
      <c r="F8" s="52">
        <f t="shared" si="0"/>
        <v>5980.468772143549</v>
      </c>
      <c r="G8" s="126">
        <v>0</v>
      </c>
      <c r="H8" s="126">
        <v>0</v>
      </c>
      <c r="I8" s="190">
        <f>F8-G8-H8</f>
        <v>5980.468772143549</v>
      </c>
      <c r="J8" s="204" t="s">
        <v>24</v>
      </c>
      <c r="K8" s="23"/>
      <c r="L8" s="23"/>
      <c r="M8" s="38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ht="12.75">
      <c r="A9" s="125" t="s">
        <v>40</v>
      </c>
      <c r="B9" s="46">
        <f>'BRA Load Pricing Results'!J48</f>
        <v>4538.031588134795</v>
      </c>
      <c r="C9" s="46">
        <f>'BRA Load Pricing Results'!C30</f>
        <v>5000.2</v>
      </c>
      <c r="D9" s="264">
        <f>IF(B9-C9&lt;0,0,B9-C9)</f>
        <v>0</v>
      </c>
      <c r="E9" s="126">
        <f>IF('BRA Resource Clearing Results'!D100=0,0,('BRA Resource Clearing Results'!D100/'BRA Load Pricing Results'!D30))</f>
        <v>0</v>
      </c>
      <c r="F9" s="126">
        <f t="shared" si="0"/>
        <v>0</v>
      </c>
      <c r="G9" s="126">
        <f>'BRA ICTRs'!I23+'BRA ICTRs'!I25</f>
        <v>0</v>
      </c>
      <c r="H9" s="127">
        <f>'BRA ICTRs'!I13+'BRA ICTRs'!I20</f>
        <v>0</v>
      </c>
      <c r="I9" s="191">
        <f>MAX(F9-G9-H9,0)</f>
        <v>0</v>
      </c>
      <c r="J9" s="204"/>
      <c r="K9" s="23"/>
      <c r="L9" s="23"/>
      <c r="M9" s="38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ht="12.75">
      <c r="A10" s="125" t="s">
        <v>15</v>
      </c>
      <c r="B10" s="46">
        <f>'BRA Load Pricing Results'!J54</f>
        <v>7401.534155622302</v>
      </c>
      <c r="C10" s="46">
        <f>'BRA Resource Clearing Results'!E36</f>
        <v>6248.400000000001</v>
      </c>
      <c r="D10" s="104">
        <f>B10-C10</f>
        <v>1153.1341556223015</v>
      </c>
      <c r="E10" s="126">
        <f>'BRA Resource Clearing Results'!B101</f>
        <v>0</v>
      </c>
      <c r="F10" s="52">
        <f t="shared" si="0"/>
        <v>1153.1341556223015</v>
      </c>
      <c r="G10" s="126">
        <f>'BRA ICTRs'!J27</f>
        <v>0</v>
      </c>
      <c r="H10" s="52">
        <f>'BRA ICTRs'!J13+'BRA ICTRs'!J20</f>
        <v>315</v>
      </c>
      <c r="I10" s="190">
        <f>F10-G10-H10</f>
        <v>838.1341556223015</v>
      </c>
      <c r="J10" s="204"/>
      <c r="K10" s="23"/>
      <c r="L10" s="23"/>
      <c r="M10" s="38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7" ht="12.75">
      <c r="A11" s="125" t="s">
        <v>129</v>
      </c>
      <c r="B11" s="46">
        <f>'BRA Load Pricing Results'!J41</f>
        <v>14621.129864018563</v>
      </c>
      <c r="C11" s="46">
        <f>'BRA Load Pricing Results'!C33</f>
        <v>10291.1</v>
      </c>
      <c r="D11" s="104">
        <f>B11-C11</f>
        <v>4330.029864018563</v>
      </c>
      <c r="E11" s="126">
        <f>IF('BRA Resource Clearing Results'!D102+'BRA Resource Clearing Results'!D103=0,0,('BRA Resource Clearing Results'!D102+'BRA Resource Clearing Results'!D103)/'BRA Load Pricing Results'!D33)</f>
        <v>0</v>
      </c>
      <c r="F11" s="52">
        <f t="shared" si="0"/>
        <v>4330.029864018563</v>
      </c>
      <c r="G11" s="126">
        <v>0</v>
      </c>
      <c r="H11" s="126">
        <v>0</v>
      </c>
      <c r="I11" s="190">
        <f>F11-G11-H11</f>
        <v>4330.029864018563</v>
      </c>
      <c r="J11" s="204"/>
      <c r="K11" s="23"/>
      <c r="L11" s="23"/>
      <c r="M11" s="38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7" ht="12.75">
      <c r="A12" s="128" t="s">
        <v>20</v>
      </c>
      <c r="B12" s="46">
        <f>'BRA Load Pricing Results'!J43</f>
        <v>25326.527160032154</v>
      </c>
      <c r="C12" s="46">
        <f>'BRA Resource Clearing Results'!E39</f>
        <v>22971.4</v>
      </c>
      <c r="D12" s="104">
        <f>B12-C12</f>
        <v>2355.1271600321525</v>
      </c>
      <c r="E12" s="126">
        <f>'BRA Resource Clearing Results'!B104</f>
        <v>0</v>
      </c>
      <c r="F12" s="52">
        <f t="shared" si="0"/>
        <v>2355.1271600321525</v>
      </c>
      <c r="G12" s="126">
        <v>0</v>
      </c>
      <c r="H12" s="126">
        <v>0</v>
      </c>
      <c r="I12" s="190">
        <f>F12-G12-H12</f>
        <v>2355.1271600321525</v>
      </c>
      <c r="J12" s="204"/>
      <c r="K12" s="23"/>
      <c r="L12" s="23"/>
      <c r="M12" s="38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ht="12.75">
      <c r="A13" s="128" t="s">
        <v>11</v>
      </c>
      <c r="B13" s="46">
        <f>'BRA Load Pricing Results'!J42</f>
        <v>7831.465136009944</v>
      </c>
      <c r="C13" s="129">
        <f>'BRA Resource Clearing Results'!E40</f>
        <v>2739.5</v>
      </c>
      <c r="D13" s="104">
        <f>B13-C13</f>
        <v>5091.965136009944</v>
      </c>
      <c r="E13" s="126">
        <f>'BRA Resource Clearing Results'!B105</f>
        <v>0</v>
      </c>
      <c r="F13" s="52">
        <f t="shared" si="0"/>
        <v>5091.965136009944</v>
      </c>
      <c r="G13" s="52">
        <f>'BRA ICTRs'!K27</f>
        <v>65.7</v>
      </c>
      <c r="H13" s="52">
        <f>'BRA ICTRs'!K13+'BRA ICTRs'!K20</f>
        <v>306</v>
      </c>
      <c r="I13" s="190">
        <f>F13-G13-H13</f>
        <v>4720.265136009944</v>
      </c>
      <c r="J13" s="204"/>
      <c r="K13" s="23"/>
      <c r="L13" s="23"/>
      <c r="M13" s="38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ht="13.5" thickBot="1">
      <c r="A14" s="130" t="s">
        <v>10</v>
      </c>
      <c r="B14" s="131">
        <f>'BRA Load Pricing Results'!J55</f>
        <v>8420.15769136553</v>
      </c>
      <c r="C14" s="132">
        <f>'BRA Resource Clearing Results'!E41</f>
        <v>9649.6</v>
      </c>
      <c r="D14" s="265">
        <f>IF(B14-C14&lt;0,0,B14-C14)</f>
        <v>0</v>
      </c>
      <c r="E14" s="133">
        <f>'BRA Resource Clearing Results'!B106</f>
        <v>0</v>
      </c>
      <c r="F14" s="133">
        <f t="shared" si="0"/>
        <v>0</v>
      </c>
      <c r="G14" s="133">
        <v>0</v>
      </c>
      <c r="H14" s="133">
        <v>0</v>
      </c>
      <c r="I14" s="192">
        <f>F14-G14-H14</f>
        <v>0</v>
      </c>
      <c r="J14" s="204"/>
      <c r="K14" s="23"/>
      <c r="L14" s="23"/>
      <c r="M14" s="38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8" ht="12.75">
      <c r="A15" s="134" t="s">
        <v>24</v>
      </c>
      <c r="B15" s="34"/>
      <c r="C15" s="34"/>
      <c r="D15" s="34" t="s">
        <v>94</v>
      </c>
      <c r="E15" s="34"/>
      <c r="F15" s="59"/>
      <c r="G15" s="60"/>
      <c r="H15" s="82"/>
      <c r="I15" s="60"/>
      <c r="J15" s="41"/>
      <c r="K15" s="135"/>
      <c r="L15" s="23"/>
      <c r="M15" s="23"/>
      <c r="N15" s="38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ht="12.75" customHeight="1" thickBot="1">
      <c r="A16" s="134"/>
      <c r="B16" s="34"/>
      <c r="C16" s="34"/>
      <c r="D16" s="59"/>
      <c r="E16" s="136"/>
      <c r="F16" s="59"/>
      <c r="G16" s="60"/>
      <c r="H16" s="82"/>
      <c r="I16" s="60"/>
      <c r="J16" s="41"/>
      <c r="K16" s="135"/>
      <c r="L16" s="23"/>
      <c r="M16" s="23"/>
      <c r="N16" s="38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ht="15" customHeight="1" thickBot="1">
      <c r="A17" s="631" t="s">
        <v>88</v>
      </c>
      <c r="B17" s="632"/>
      <c r="C17" s="632"/>
      <c r="D17" s="633"/>
      <c r="E17" s="137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ht="12.75">
      <c r="A18" s="634"/>
      <c r="B18" s="635"/>
      <c r="C18" s="635"/>
      <c r="D18" s="636"/>
      <c r="E18" s="643" t="s">
        <v>29</v>
      </c>
      <c r="F18" s="644"/>
      <c r="G18" s="643" t="s">
        <v>35</v>
      </c>
      <c r="H18" s="644"/>
      <c r="I18" s="643" t="s">
        <v>5</v>
      </c>
      <c r="J18" s="644"/>
      <c r="K18" s="643" t="s">
        <v>42</v>
      </c>
      <c r="L18" s="644"/>
      <c r="M18" s="643" t="s">
        <v>40</v>
      </c>
      <c r="N18" s="644"/>
      <c r="O18" s="643" t="s">
        <v>15</v>
      </c>
      <c r="P18" s="644"/>
      <c r="Q18" s="643" t="s">
        <v>129</v>
      </c>
      <c r="R18" s="644"/>
      <c r="S18" s="643" t="s">
        <v>20</v>
      </c>
      <c r="T18" s="644"/>
      <c r="U18" s="643" t="s">
        <v>11</v>
      </c>
      <c r="V18" s="644"/>
      <c r="W18" s="643" t="s">
        <v>10</v>
      </c>
      <c r="X18" s="644"/>
      <c r="Y18" s="23"/>
      <c r="Z18" s="23"/>
      <c r="AA18" s="23"/>
      <c r="AB18" s="23"/>
    </row>
    <row r="19" spans="1:28" ht="30.75" customHeight="1" thickBot="1">
      <c r="A19" s="637"/>
      <c r="B19" s="638"/>
      <c r="C19" s="638"/>
      <c r="D19" s="639"/>
      <c r="E19" s="153" t="s">
        <v>43</v>
      </c>
      <c r="F19" s="138">
        <f>'BRA Resource Clearing Results'!C6</f>
        <v>0</v>
      </c>
      <c r="G19" s="153" t="s">
        <v>43</v>
      </c>
      <c r="H19" s="138">
        <f>'BRA Resource Clearing Results'!C7</f>
        <v>19.77</v>
      </c>
      <c r="I19" s="153" t="s">
        <v>43</v>
      </c>
      <c r="J19" s="138">
        <f>'BRA Resource Clearing Results'!C8</f>
        <v>0</v>
      </c>
      <c r="K19" s="153" t="s">
        <v>43</v>
      </c>
      <c r="L19" s="138">
        <f>'BRA Load Pricing Results'!D27</f>
        <v>0</v>
      </c>
      <c r="M19" s="153" t="s">
        <v>43</v>
      </c>
      <c r="N19" s="154">
        <f>'BRA Load Pricing Results'!D30</f>
        <v>0</v>
      </c>
      <c r="O19" s="153" t="s">
        <v>43</v>
      </c>
      <c r="P19" s="154">
        <f>'BRA Resource Clearing Results'!C12</f>
        <v>0</v>
      </c>
      <c r="Q19" s="153" t="s">
        <v>43</v>
      </c>
      <c r="R19" s="154">
        <f>'BRA Load Pricing Results'!D33</f>
        <v>0</v>
      </c>
      <c r="S19" s="153" t="s">
        <v>43</v>
      </c>
      <c r="T19" s="154">
        <f>'BRA Resource Clearing Results'!C15</f>
        <v>102.77</v>
      </c>
      <c r="U19" s="153" t="s">
        <v>43</v>
      </c>
      <c r="V19" s="154">
        <f>'BRA Resource Clearing Results'!C16</f>
        <v>0.3</v>
      </c>
      <c r="W19" s="153" t="s">
        <v>43</v>
      </c>
      <c r="X19" s="154">
        <f>'BRA Resource Clearing Results'!C17</f>
        <v>0</v>
      </c>
      <c r="Y19" s="23"/>
      <c r="Z19" s="23"/>
      <c r="AA19" s="23"/>
      <c r="AB19" s="120"/>
    </row>
    <row r="20" spans="1:29" ht="63.75">
      <c r="A20" s="98" t="s">
        <v>7</v>
      </c>
      <c r="B20" s="99" t="s">
        <v>28</v>
      </c>
      <c r="C20" s="99" t="s">
        <v>27</v>
      </c>
      <c r="D20" s="100" t="s">
        <v>33</v>
      </c>
      <c r="E20" s="98" t="s">
        <v>200</v>
      </c>
      <c r="F20" s="100" t="s">
        <v>201</v>
      </c>
      <c r="G20" s="98" t="s">
        <v>200</v>
      </c>
      <c r="H20" s="100" t="s">
        <v>201</v>
      </c>
      <c r="I20" s="98" t="s">
        <v>200</v>
      </c>
      <c r="J20" s="100" t="s">
        <v>201</v>
      </c>
      <c r="K20" s="98" t="s">
        <v>202</v>
      </c>
      <c r="L20" s="100" t="s">
        <v>201</v>
      </c>
      <c r="M20" s="98" t="s">
        <v>200</v>
      </c>
      <c r="N20" s="100" t="s">
        <v>203</v>
      </c>
      <c r="O20" s="98" t="s">
        <v>200</v>
      </c>
      <c r="P20" s="100" t="s">
        <v>203</v>
      </c>
      <c r="Q20" s="98" t="s">
        <v>200</v>
      </c>
      <c r="R20" s="100" t="s">
        <v>203</v>
      </c>
      <c r="S20" s="98" t="s">
        <v>200</v>
      </c>
      <c r="T20" s="100" t="s">
        <v>203</v>
      </c>
      <c r="U20" s="98" t="s">
        <v>200</v>
      </c>
      <c r="V20" s="100" t="s">
        <v>203</v>
      </c>
      <c r="W20" s="98" t="s">
        <v>200</v>
      </c>
      <c r="X20" s="100" t="s">
        <v>201</v>
      </c>
      <c r="Y20" s="98" t="s">
        <v>85</v>
      </c>
      <c r="Z20" s="99" t="s">
        <v>204</v>
      </c>
      <c r="AA20" s="193" t="s">
        <v>52</v>
      </c>
      <c r="AB20" s="194" t="s">
        <v>205</v>
      </c>
      <c r="AC20" s="10"/>
    </row>
    <row r="21" spans="1:30" ht="12.75">
      <c r="A21" s="57" t="s">
        <v>16</v>
      </c>
      <c r="B21" s="101" t="s">
        <v>29</v>
      </c>
      <c r="C21" s="101" t="s">
        <v>35</v>
      </c>
      <c r="D21" s="102"/>
      <c r="E21" s="139">
        <f>IF(B21="MAAC",$I$5*'BRA Load Pricing Results'!J38/'BRA Load Pricing Results'!$B$14,0)</f>
        <v>0</v>
      </c>
      <c r="F21" s="140">
        <f>E21*$F$19</f>
        <v>0</v>
      </c>
      <c r="G21" s="139">
        <f>IF(C21="EMAAC",$I$6*'BRA Load Pricing Results'!J38/'BRA Load Pricing Results'!$B$15,0)</f>
        <v>334.48171126885023</v>
      </c>
      <c r="H21" s="140">
        <f>G21*$H$19</f>
        <v>6612.703431785169</v>
      </c>
      <c r="I21" s="139">
        <f>IF(C21="SWMAAC",$I$7*'BRA Load Pricing Results'!J38/'BRA Load Pricing Results'!$B$16,0)</f>
        <v>0</v>
      </c>
      <c r="J21" s="140">
        <f>I21*$J$19</f>
        <v>0</v>
      </c>
      <c r="K21" s="139">
        <f>IF(D21="PS",$I$8*'BRA Load Pricing Results'!J38/'BRA Load Pricing Results'!$J$56,0)</f>
        <v>0</v>
      </c>
      <c r="L21" s="140">
        <f>K21*$L$19</f>
        <v>0</v>
      </c>
      <c r="M21" s="139">
        <f>IF(D21="DPL",$I$9*'BRA Load Pricing Results'!J38/'BRA Load Pricing Results'!$J$48,0)</f>
        <v>0</v>
      </c>
      <c r="N21" s="140">
        <f>M21*$N$19</f>
        <v>0</v>
      </c>
      <c r="O21" s="139">
        <f>IF(D21="PEPCO",$I$10*'BRA Load Pricing Results'!J38/'BRA Load Pricing Results'!$J$54,0)</f>
        <v>0</v>
      </c>
      <c r="P21" s="140">
        <f>O21*$P$19</f>
        <v>0</v>
      </c>
      <c r="Q21" s="139">
        <f>IF(D21="ATSI",$I$11*'BRA Load Pricing Results'!J38/'BRA Load Pricing Results'!$J$41,0)</f>
        <v>0</v>
      </c>
      <c r="R21" s="140">
        <f>Q21*$R$19</f>
        <v>0</v>
      </c>
      <c r="S21" s="139">
        <f>IF(D21="COMED",$I$12*'BRA Load Pricing Results'!J38/'BRA Load Pricing Results'!$J$43,0)</f>
        <v>0</v>
      </c>
      <c r="T21" s="140">
        <f>S21*$T$19</f>
        <v>0</v>
      </c>
      <c r="U21" s="139">
        <f>IF(D21="BGE",$I$13*'BRA Load Pricing Results'!J38/'BRA Load Pricing Results'!$J$42,0)</f>
        <v>0</v>
      </c>
      <c r="V21" s="140">
        <f>U21*$V$19</f>
        <v>0</v>
      </c>
      <c r="W21" s="139">
        <f>IF(D21="PL",$I$14*'BRA Load Pricing Results'!J38/'BRA Load Pricing Results'!$J$55,0)</f>
        <v>0</v>
      </c>
      <c r="X21" s="140">
        <f aca="true" t="shared" si="1" ref="X21:X37">W21*$X$19</f>
        <v>0</v>
      </c>
      <c r="Y21" s="141">
        <f>MAX(E21,G21,I21,K21,M21,O21,Q21+S21+U21+W21)</f>
        <v>334.48171126885023</v>
      </c>
      <c r="Z21" s="33">
        <f>F21+H21+J21+L21+N21+P21+R21+T21+V21+X21</f>
        <v>6612.703431785169</v>
      </c>
      <c r="AA21" s="184">
        <f>Z21/'BRA Load Pricing Results'!J38</f>
        <v>2.333862956633178</v>
      </c>
      <c r="AB21" s="195">
        <f>IF(Y21=0,0,Z21/Y21)</f>
        <v>19.77</v>
      </c>
      <c r="AC21" s="34"/>
      <c r="AD21" s="25"/>
    </row>
    <row r="22" spans="1:30" ht="12.75">
      <c r="A22" s="57" t="s">
        <v>30</v>
      </c>
      <c r="B22" s="101"/>
      <c r="C22" s="101"/>
      <c r="D22" s="102"/>
      <c r="E22" s="139">
        <f>IF(B22="MAAC",$I$5*'BRA Load Pricing Results'!J39/'BRA Load Pricing Results'!$B$14,0)</f>
        <v>0</v>
      </c>
      <c r="F22" s="140">
        <f aca="true" t="shared" si="2" ref="F22:F30">E22*$F$19</f>
        <v>0</v>
      </c>
      <c r="G22" s="139">
        <f>IF(C22="EMAAC",$I$6*'BRA Load Pricing Results'!J39/'BRA Load Pricing Results'!$B$15,0)</f>
        <v>0</v>
      </c>
      <c r="H22" s="140">
        <f>G22*$H$19</f>
        <v>0</v>
      </c>
      <c r="I22" s="139">
        <f>IF(C22="SWMAAC",$I$7*'BRA Load Pricing Results'!J39/'BRA Load Pricing Results'!$B$16,0)</f>
        <v>0</v>
      </c>
      <c r="J22" s="140">
        <f>I22*$J$19</f>
        <v>0</v>
      </c>
      <c r="K22" s="139">
        <f>IF(D22="PS",$I$8*'BRA Load Pricing Results'!J39/'BRA Load Pricing Results'!$J$56,0)</f>
        <v>0</v>
      </c>
      <c r="L22" s="140">
        <f>K22*$L$19</f>
        <v>0</v>
      </c>
      <c r="M22" s="139">
        <f>IF(D22="DPL",$I$9*'BRA Load Pricing Results'!J39/'BRA Load Pricing Results'!$J$48,0)</f>
        <v>0</v>
      </c>
      <c r="N22" s="140">
        <f aca="true" t="shared" si="3" ref="N22:N36">M22*$N$19</f>
        <v>0</v>
      </c>
      <c r="O22" s="139">
        <f>IF(D22="PEPCO",$I$10*'BRA Load Pricing Results'!J39/'BRA Load Pricing Results'!$J$54,0)</f>
        <v>0</v>
      </c>
      <c r="P22" s="140">
        <f>O22*$P$19</f>
        <v>0</v>
      </c>
      <c r="Q22" s="139">
        <f>IF(D22="ATSI",$I$11*'BRA Load Pricing Results'!J39/'BRA Load Pricing Results'!$J$41,0)</f>
        <v>0</v>
      </c>
      <c r="R22" s="140">
        <f aca="true" t="shared" si="4" ref="R22:R40">Q22*$R$19</f>
        <v>0</v>
      </c>
      <c r="S22" s="139">
        <f>IF(D22="COMED",$I$12*'BRA Load Pricing Results'!J39/'BRA Load Pricing Results'!$J$43,0)</f>
        <v>0</v>
      </c>
      <c r="T22" s="140">
        <f aca="true" t="shared" si="5" ref="T22:T40">S22*$T$19</f>
        <v>0</v>
      </c>
      <c r="U22" s="139">
        <f>IF(D22="BGE",$I$13*'BRA Load Pricing Results'!J39/'BRA Load Pricing Results'!$J$42,0)</f>
        <v>0</v>
      </c>
      <c r="V22" s="140">
        <f>U22*$V$19</f>
        <v>0</v>
      </c>
      <c r="W22" s="139">
        <f>IF(D22="PL",$I$14*'BRA Load Pricing Results'!J39/'BRA Load Pricing Results'!$J$55,0)</f>
        <v>0</v>
      </c>
      <c r="X22" s="140">
        <f t="shared" si="1"/>
        <v>0</v>
      </c>
      <c r="Y22" s="141">
        <f aca="true" t="shared" si="6" ref="Y22:Y40">MAX(E22,G22,I22,K22,M22,O22,Q22+S22+U22+W22)</f>
        <v>0</v>
      </c>
      <c r="Z22" s="33">
        <f aca="true" t="shared" si="7" ref="Z22:Z39">F22+H22+J22+L22+N22+P22+R22+T22+V22+X22</f>
        <v>0</v>
      </c>
      <c r="AA22" s="184">
        <f>Z22/'BRA Load Pricing Results'!J39</f>
        <v>0</v>
      </c>
      <c r="AB22" s="195">
        <f>IF(Y22=0,0,Z22/Y22)</f>
        <v>0</v>
      </c>
      <c r="AC22" s="34"/>
      <c r="AD22" s="25"/>
    </row>
    <row r="23" spans="1:30" ht="12.75">
      <c r="A23" s="57" t="s">
        <v>19</v>
      </c>
      <c r="B23" s="101" t="s">
        <v>24</v>
      </c>
      <c r="C23" s="101"/>
      <c r="D23" s="102"/>
      <c r="E23" s="139">
        <f>IF(B23="MAAC",$I$5*'BRA Load Pricing Results'!J40/'BRA Load Pricing Results'!$B$14,0)</f>
        <v>0</v>
      </c>
      <c r="F23" s="140">
        <f t="shared" si="2"/>
        <v>0</v>
      </c>
      <c r="G23" s="139">
        <f>IF(C23="EMAAC",$I$6*'BRA Load Pricing Results'!J40/'BRA Load Pricing Results'!$B$15,0)</f>
        <v>0</v>
      </c>
      <c r="H23" s="140">
        <f>G23*$H$19</f>
        <v>0</v>
      </c>
      <c r="I23" s="139">
        <f>IF(C23="SWMAAC",$I$7*'BRA Load Pricing Results'!J40/'BRA Load Pricing Results'!$B$16,0)</f>
        <v>0</v>
      </c>
      <c r="J23" s="140">
        <f aca="true" t="shared" si="8" ref="J23:J40">I23*$J$19</f>
        <v>0</v>
      </c>
      <c r="K23" s="139">
        <f>IF(D23="PS",$I$8*'BRA Load Pricing Results'!J40/'BRA Load Pricing Results'!$J$56,0)</f>
        <v>0</v>
      </c>
      <c r="L23" s="140">
        <f>K23*$L$19</f>
        <v>0</v>
      </c>
      <c r="M23" s="139">
        <f>IF(D23="DPL",$I$9*'BRA Load Pricing Results'!J40/'BRA Load Pricing Results'!$J$48,0)</f>
        <v>0</v>
      </c>
      <c r="N23" s="140">
        <f t="shared" si="3"/>
        <v>0</v>
      </c>
      <c r="O23" s="139">
        <f>IF(D23="PEPCO",$I$10*'BRA Load Pricing Results'!J40/'BRA Load Pricing Results'!$J$54,0)</f>
        <v>0</v>
      </c>
      <c r="P23" s="140">
        <f>O23*$P$19</f>
        <v>0</v>
      </c>
      <c r="Q23" s="139">
        <f>IF(D23="ATSI",$I$11*'BRA Load Pricing Results'!J40/'BRA Load Pricing Results'!$J$41,0)</f>
        <v>0</v>
      </c>
      <c r="R23" s="140">
        <f t="shared" si="4"/>
        <v>0</v>
      </c>
      <c r="S23" s="139">
        <f>IF(D23="COMED",$I$12*'BRA Load Pricing Results'!J40/'BRA Load Pricing Results'!$J$43,0)</f>
        <v>0</v>
      </c>
      <c r="T23" s="140">
        <f t="shared" si="5"/>
        <v>0</v>
      </c>
      <c r="U23" s="139">
        <f>IF(D23="BGE",$I$13*'BRA Load Pricing Results'!J40/'BRA Load Pricing Results'!$J$42,0)</f>
        <v>0</v>
      </c>
      <c r="V23" s="140">
        <f>U23*$V$19</f>
        <v>0</v>
      </c>
      <c r="W23" s="139">
        <f>IF(D23="PL",$I$14*'BRA Load Pricing Results'!J40/'BRA Load Pricing Results'!$J$55,0)</f>
        <v>0</v>
      </c>
      <c r="X23" s="140">
        <f t="shared" si="1"/>
        <v>0</v>
      </c>
      <c r="Y23" s="141">
        <f t="shared" si="6"/>
        <v>0</v>
      </c>
      <c r="Z23" s="33">
        <f t="shared" si="7"/>
        <v>0</v>
      </c>
      <c r="AA23" s="184">
        <f>Z23/'BRA Load Pricing Results'!J40</f>
        <v>0</v>
      </c>
      <c r="AB23" s="195">
        <f>IF(Y23=0,0,Z23/Y23)</f>
        <v>0</v>
      </c>
      <c r="AC23" s="34"/>
      <c r="AD23" s="25"/>
    </row>
    <row r="24" spans="1:30" ht="12.75">
      <c r="A24" s="57" t="s">
        <v>45</v>
      </c>
      <c r="B24" s="101"/>
      <c r="C24" s="101"/>
      <c r="D24" s="102" t="s">
        <v>45</v>
      </c>
      <c r="E24" s="139">
        <f>IF(B24="MAAC",$I$5*'BRA Load Pricing Results'!J41/'BRA Load Pricing Results'!$B$14,0)</f>
        <v>0</v>
      </c>
      <c r="F24" s="140">
        <f t="shared" si="2"/>
        <v>0</v>
      </c>
      <c r="G24" s="139">
        <f>IF(C24="EMAAC",$I$6*'BRA Load Pricing Results'!J41/'BRA Load Pricing Results'!$B$15,0)</f>
        <v>0</v>
      </c>
      <c r="H24" s="140">
        <f>G24*$H$19</f>
        <v>0</v>
      </c>
      <c r="I24" s="139">
        <f>IF(C24="SWMAAC",$I$7*'BRA Load Pricing Results'!J41/'BRA Load Pricing Results'!$B$16,0)</f>
        <v>0</v>
      </c>
      <c r="J24" s="140">
        <f t="shared" si="8"/>
        <v>0</v>
      </c>
      <c r="K24" s="139">
        <f>IF(D24="PS",$I$8*'BRA Load Pricing Results'!J41/'BRA Load Pricing Results'!$J$56,0)</f>
        <v>0</v>
      </c>
      <c r="L24" s="140">
        <f aca="true" t="shared" si="9" ref="L24:L40">K24*$L$19</f>
        <v>0</v>
      </c>
      <c r="M24" s="139">
        <f>IF(D24="DPL",$I$9*'BRA Load Pricing Results'!J41/'BRA Load Pricing Results'!$J$48,0)</f>
        <v>0</v>
      </c>
      <c r="N24" s="140">
        <f t="shared" si="3"/>
        <v>0</v>
      </c>
      <c r="O24" s="139">
        <f>IF(D24="PEPCO",$I$10*'BRA Load Pricing Results'!J41/'BRA Load Pricing Results'!$J$54,0)</f>
        <v>0</v>
      </c>
      <c r="P24" s="140">
        <f aca="true" t="shared" si="10" ref="P24:P36">O24*$P$19</f>
        <v>0</v>
      </c>
      <c r="Q24" s="139">
        <f>IF(D24="ATSI",$I$11*'BRA Load Pricing Results'!J41/'BRA Load Pricing Results'!$J$41,0)</f>
        <v>4330.029864018563</v>
      </c>
      <c r="R24" s="140">
        <f>Q24*$R$19</f>
        <v>0</v>
      </c>
      <c r="S24" s="139">
        <f>IF(D24="COMED",$I$12*'BRA Load Pricing Results'!J41/'BRA Load Pricing Results'!$J$43,0)</f>
        <v>0</v>
      </c>
      <c r="T24" s="140">
        <f t="shared" si="5"/>
        <v>0</v>
      </c>
      <c r="U24" s="139">
        <f>IF(D24="BGE",$I$13*'BRA Load Pricing Results'!J41/'BRA Load Pricing Results'!$J$42,0)</f>
        <v>0</v>
      </c>
      <c r="V24" s="140">
        <f>U24*$V$19</f>
        <v>0</v>
      </c>
      <c r="W24" s="139">
        <f>IF(D24="PL",$I$14*'BRA Load Pricing Results'!J41/'BRA Load Pricing Results'!$J$55,0)</f>
        <v>0</v>
      </c>
      <c r="X24" s="140">
        <f t="shared" si="1"/>
        <v>0</v>
      </c>
      <c r="Y24" s="141">
        <f t="shared" si="6"/>
        <v>4330.029864018563</v>
      </c>
      <c r="Z24" s="33">
        <f t="shared" si="7"/>
        <v>0</v>
      </c>
      <c r="AA24" s="184">
        <f>Z24/'BRA Load Pricing Results'!J41</f>
        <v>0</v>
      </c>
      <c r="AB24" s="195">
        <f>IF(Y24=0,0,Z24/Y24)</f>
        <v>0</v>
      </c>
      <c r="AC24" s="34"/>
      <c r="AD24" s="25"/>
    </row>
    <row r="25" spans="1:30" ht="12.75">
      <c r="A25" s="57" t="s">
        <v>11</v>
      </c>
      <c r="B25" s="101" t="s">
        <v>29</v>
      </c>
      <c r="C25" s="101" t="s">
        <v>5</v>
      </c>
      <c r="D25" s="102" t="s">
        <v>11</v>
      </c>
      <c r="E25" s="139">
        <f>IF(B25="MAAC",$I$5*'BRA Load Pricing Results'!J42/'BRA Load Pricing Results'!$B$14,0)</f>
        <v>0</v>
      </c>
      <c r="F25" s="140">
        <f>E25*$F$19</f>
        <v>0</v>
      </c>
      <c r="G25" s="139">
        <f>IF(C25="EMAAC",$I$6*'BRA Load Pricing Results'!J42/'BRA Load Pricing Results'!$B$15,0)</f>
        <v>0</v>
      </c>
      <c r="H25" s="140">
        <f aca="true" t="shared" si="11" ref="H25:H38">G25*$H$19</f>
        <v>0</v>
      </c>
      <c r="I25" s="139">
        <f>IF(C25="SWMAAC",$I$7*'BRA Load Pricing Results'!J42/'BRA Load Pricing Results'!$B$16,0)</f>
        <v>1436.633732434441</v>
      </c>
      <c r="J25" s="140">
        <f>I25*$J$19</f>
        <v>0</v>
      </c>
      <c r="K25" s="139">
        <f>IF(D25="PS",$I$8*'BRA Load Pricing Results'!J42/'BRA Load Pricing Results'!$J$56,0)</f>
        <v>0</v>
      </c>
      <c r="L25" s="140">
        <f t="shared" si="9"/>
        <v>0</v>
      </c>
      <c r="M25" s="139">
        <f>IF(D25="DPL",$I$9*'BRA Load Pricing Results'!J42/'BRA Load Pricing Results'!$J$48,0)</f>
        <v>0</v>
      </c>
      <c r="N25" s="140">
        <f t="shared" si="3"/>
        <v>0</v>
      </c>
      <c r="O25" s="139">
        <f>IF(D25="PEPCO",$I$10*'BRA Load Pricing Results'!J42/'BRA Load Pricing Results'!$J$54,0)</f>
        <v>0</v>
      </c>
      <c r="P25" s="140">
        <f t="shared" si="10"/>
        <v>0</v>
      </c>
      <c r="Q25" s="139">
        <f>IF(D25="ATSI",$I$11*'BRA Load Pricing Results'!J42/'BRA Load Pricing Results'!$J$41,0)</f>
        <v>0</v>
      </c>
      <c r="R25" s="140">
        <f t="shared" si="4"/>
        <v>0</v>
      </c>
      <c r="S25" s="139">
        <f>IF(D25="COMED",$I$12*'BRA Load Pricing Results'!J42/'BRA Load Pricing Results'!$J$43,0)</f>
        <v>0</v>
      </c>
      <c r="T25" s="140">
        <f t="shared" si="5"/>
        <v>0</v>
      </c>
      <c r="U25" s="139">
        <f>IF(D25="BGE",$I$13*'BRA Load Pricing Results'!J42/'BRA Load Pricing Results'!$J$42,0)</f>
        <v>4720.265136009944</v>
      </c>
      <c r="V25" s="140">
        <f>U25*$V$19</f>
        <v>1416.0795408029833</v>
      </c>
      <c r="W25" s="139">
        <f>IF(D25="PL",$I$14*'BRA Load Pricing Results'!J42/'BRA Load Pricing Results'!$J$55,0)</f>
        <v>0</v>
      </c>
      <c r="X25" s="140">
        <f t="shared" si="1"/>
        <v>0</v>
      </c>
      <c r="Y25" s="141">
        <f t="shared" si="6"/>
        <v>4720.265136009944</v>
      </c>
      <c r="Z25" s="33">
        <f t="shared" si="7"/>
        <v>1416.0795408029833</v>
      </c>
      <c r="AA25" s="184">
        <f>Z25/'BRA Load Pricing Results'!J42</f>
        <v>0.18081923576364947</v>
      </c>
      <c r="AB25" s="195">
        <f>IF(Y25=0,0,Z25/Y25)</f>
        <v>0.3</v>
      </c>
      <c r="AC25" s="34"/>
      <c r="AD25" s="25"/>
    </row>
    <row r="26" spans="1:30" ht="12.75">
      <c r="A26" s="57" t="s">
        <v>20</v>
      </c>
      <c r="B26" s="101"/>
      <c r="C26" s="101"/>
      <c r="D26" s="102" t="s">
        <v>20</v>
      </c>
      <c r="E26" s="139">
        <f>IF(B26="MAAC",$I$5*'BRA Load Pricing Results'!J43/'BRA Load Pricing Results'!$B$14,0)</f>
        <v>0</v>
      </c>
      <c r="F26" s="140">
        <f t="shared" si="2"/>
        <v>0</v>
      </c>
      <c r="G26" s="139">
        <f>IF(C26="EMAAC",$I$6*'BRA Load Pricing Results'!J43/'BRA Load Pricing Results'!$B$15,0)</f>
        <v>0</v>
      </c>
      <c r="H26" s="140">
        <f t="shared" si="11"/>
        <v>0</v>
      </c>
      <c r="I26" s="139">
        <f>IF(C26="SWMAAC",$I$7*'BRA Load Pricing Results'!J43/'BRA Load Pricing Results'!$B$16,0)</f>
        <v>0</v>
      </c>
      <c r="J26" s="140">
        <f t="shared" si="8"/>
        <v>0</v>
      </c>
      <c r="K26" s="139">
        <f>IF(D26="PS",$I$8*'BRA Load Pricing Results'!J43/'BRA Load Pricing Results'!$J$56,0)</f>
        <v>0</v>
      </c>
      <c r="L26" s="140">
        <f t="shared" si="9"/>
        <v>0</v>
      </c>
      <c r="M26" s="139">
        <f>IF(D26="DPL",$I$9*'BRA Load Pricing Results'!J43/'BRA Load Pricing Results'!$J$48,0)</f>
        <v>0</v>
      </c>
      <c r="N26" s="140">
        <f t="shared" si="3"/>
        <v>0</v>
      </c>
      <c r="O26" s="139">
        <f>IF(D26="PEPCO",$I$10*'BRA Load Pricing Results'!J43/'BRA Load Pricing Results'!$J$54,0)</f>
        <v>0</v>
      </c>
      <c r="P26" s="140">
        <f t="shared" si="10"/>
        <v>0</v>
      </c>
      <c r="Q26" s="139">
        <f>IF(D26="ATSI",$I$11*'BRA Load Pricing Results'!J43/'BRA Load Pricing Results'!$J$41,0)</f>
        <v>0</v>
      </c>
      <c r="R26" s="140">
        <f t="shared" si="4"/>
        <v>0</v>
      </c>
      <c r="S26" s="143">
        <f>IF(D26="COMED",$I$12*'BRA Load Pricing Results'!J43/'BRA Load Pricing Results'!$J$43,0)</f>
        <v>2355.1271600321525</v>
      </c>
      <c r="T26" s="140">
        <f>S26*$T$19</f>
        <v>242036.4182365043</v>
      </c>
      <c r="U26" s="139">
        <f>IF(D26="BGE",$I$13*'BRA Load Pricing Results'!J43/'BRA Load Pricing Results'!$J$42,0)</f>
        <v>0</v>
      </c>
      <c r="V26" s="140">
        <f aca="true" t="shared" si="12" ref="V26:V40">U26*$V$19</f>
        <v>0</v>
      </c>
      <c r="W26" s="139">
        <f>IF(D26="PL",$I$14*'BRA Load Pricing Results'!J43/'BRA Load Pricing Results'!$J$55,0)</f>
        <v>0</v>
      </c>
      <c r="X26" s="140">
        <f t="shared" si="1"/>
        <v>0</v>
      </c>
      <c r="Y26" s="141">
        <f t="shared" si="6"/>
        <v>2355.1271600321525</v>
      </c>
      <c r="Z26" s="33">
        <f t="shared" si="7"/>
        <v>242036.4182365043</v>
      </c>
      <c r="AA26" s="184">
        <f>Z26/'BRA Load Pricing Results'!J43</f>
        <v>9.55663667217914</v>
      </c>
      <c r="AB26" s="195">
        <f aca="true" t="shared" si="13" ref="AB26:AB40">IF(Y26=0,0,Z26/Y26)</f>
        <v>102.77</v>
      </c>
      <c r="AC26" s="34"/>
      <c r="AD26" s="25"/>
    </row>
    <row r="27" spans="1:30" ht="12.75">
      <c r="A27" s="57" t="s">
        <v>21</v>
      </c>
      <c r="B27" s="101"/>
      <c r="C27" s="101"/>
      <c r="D27" s="102"/>
      <c r="E27" s="139">
        <f>IF(B27="MAAC",$I$5*'BRA Load Pricing Results'!J44/'BRA Load Pricing Results'!$B$14,0)</f>
        <v>0</v>
      </c>
      <c r="F27" s="140">
        <f t="shared" si="2"/>
        <v>0</v>
      </c>
      <c r="G27" s="139">
        <f>IF(C27="EMAAC",$I$6*'BRA Load Pricing Results'!J44/'BRA Load Pricing Results'!$B$15,0)</f>
        <v>0</v>
      </c>
      <c r="H27" s="140">
        <f>G27*$H$19</f>
        <v>0</v>
      </c>
      <c r="I27" s="139">
        <f>IF(C27="SWMAAC",$I$7*'BRA Load Pricing Results'!J44/'BRA Load Pricing Results'!$B$16,0)</f>
        <v>0</v>
      </c>
      <c r="J27" s="140">
        <f>I27*$J$19</f>
        <v>0</v>
      </c>
      <c r="K27" s="139">
        <f>IF(D27="PS",$I$8*'BRA Load Pricing Results'!J44/'BRA Load Pricing Results'!$J$56,0)</f>
        <v>0</v>
      </c>
      <c r="L27" s="140">
        <f t="shared" si="9"/>
        <v>0</v>
      </c>
      <c r="M27" s="139">
        <f>IF(D27="DPL",$I$9*'BRA Load Pricing Results'!J44/'BRA Load Pricing Results'!$J$48,0)</f>
        <v>0</v>
      </c>
      <c r="N27" s="140">
        <f t="shared" si="3"/>
        <v>0</v>
      </c>
      <c r="O27" s="139">
        <f>IF(D27="PEPCO",$I$10*'BRA Load Pricing Results'!J44/'BRA Load Pricing Results'!$J$54,0)</f>
        <v>0</v>
      </c>
      <c r="P27" s="140">
        <f t="shared" si="10"/>
        <v>0</v>
      </c>
      <c r="Q27" s="139">
        <f>IF(D27="ATSI",$I$11*'BRA Load Pricing Results'!J44/'BRA Load Pricing Results'!$J$41,0)</f>
        <v>0</v>
      </c>
      <c r="R27" s="140">
        <f t="shared" si="4"/>
        <v>0</v>
      </c>
      <c r="S27" s="139">
        <f>IF(D27="COMED",$I$12*'BRA Load Pricing Results'!J44/'BRA Load Pricing Results'!$J$43,0)</f>
        <v>0</v>
      </c>
      <c r="T27" s="140">
        <f t="shared" si="5"/>
        <v>0</v>
      </c>
      <c r="U27" s="139">
        <f>IF(D27="BGE",$I$13*'BRA Load Pricing Results'!J44/'BRA Load Pricing Results'!$J$42,0)</f>
        <v>0</v>
      </c>
      <c r="V27" s="140">
        <f t="shared" si="12"/>
        <v>0</v>
      </c>
      <c r="W27" s="139">
        <f>IF(D27="PL",$I$14*'BRA Load Pricing Results'!J44/'BRA Load Pricing Results'!$J$55,0)</f>
        <v>0</v>
      </c>
      <c r="X27" s="140">
        <f t="shared" si="1"/>
        <v>0</v>
      </c>
      <c r="Y27" s="141">
        <f t="shared" si="6"/>
        <v>0</v>
      </c>
      <c r="Z27" s="33">
        <f t="shared" si="7"/>
        <v>0</v>
      </c>
      <c r="AA27" s="184">
        <f>Z27/'BRA Load Pricing Results'!J44</f>
        <v>0</v>
      </c>
      <c r="AB27" s="195">
        <f t="shared" si="13"/>
        <v>0</v>
      </c>
      <c r="AC27" s="34"/>
      <c r="AD27" s="25"/>
    </row>
    <row r="28" spans="1:30" ht="12.75">
      <c r="A28" s="57" t="s">
        <v>55</v>
      </c>
      <c r="B28" s="101"/>
      <c r="C28" s="101"/>
      <c r="D28" s="102"/>
      <c r="E28" s="139">
        <f>IF(B28="MAAC",$I$5*'BRA Load Pricing Results'!J45/'BRA Load Pricing Results'!$B$14,0)</f>
        <v>0</v>
      </c>
      <c r="F28" s="140">
        <f t="shared" si="2"/>
        <v>0</v>
      </c>
      <c r="G28" s="139">
        <f>IF(C28="EMAAC",$I$6*'BRA Load Pricing Results'!J45/'BRA Load Pricing Results'!$B$15,0)</f>
        <v>0</v>
      </c>
      <c r="H28" s="140">
        <f>G28*$H$19</f>
        <v>0</v>
      </c>
      <c r="I28" s="139">
        <f>IF(C28="SWMAAC",$I$7*'BRA Load Pricing Results'!J45/'BRA Load Pricing Results'!$B$16,0)</f>
        <v>0</v>
      </c>
      <c r="J28" s="140">
        <f>I28*$J$19</f>
        <v>0</v>
      </c>
      <c r="K28" s="139">
        <f>IF(D28="PS",$I$8*'BRA Load Pricing Results'!J45/'BRA Load Pricing Results'!$J$56,0)</f>
        <v>0</v>
      </c>
      <c r="L28" s="140">
        <f>K28*$L$19</f>
        <v>0</v>
      </c>
      <c r="M28" s="139">
        <f>IF(D28="DPL",$I$9*'BRA Load Pricing Results'!J45/'BRA Load Pricing Results'!$J$48,0)</f>
        <v>0</v>
      </c>
      <c r="N28" s="140">
        <f>M28*$N$19</f>
        <v>0</v>
      </c>
      <c r="O28" s="139">
        <f>IF(D28="PEPCO",$I$10*'BRA Load Pricing Results'!J45/'BRA Load Pricing Results'!$J$54,0)</f>
        <v>0</v>
      </c>
      <c r="P28" s="140">
        <f>O28*$P$19</f>
        <v>0</v>
      </c>
      <c r="Q28" s="139">
        <f>IF(D28="ATSI",$I$11*'BRA Load Pricing Results'!J45/'BRA Load Pricing Results'!$J$41,0)</f>
        <v>0</v>
      </c>
      <c r="R28" s="140">
        <f t="shared" si="4"/>
        <v>0</v>
      </c>
      <c r="S28" s="139">
        <f>IF(D28="COMED",$I$12*'BRA Load Pricing Results'!J45/'BRA Load Pricing Results'!$J$43,0)</f>
        <v>0</v>
      </c>
      <c r="T28" s="140">
        <f t="shared" si="5"/>
        <v>0</v>
      </c>
      <c r="U28" s="139">
        <f>IF(D28="BGE",$I$13*'BRA Load Pricing Results'!J45/'BRA Load Pricing Results'!$J$42,0)</f>
        <v>0</v>
      </c>
      <c r="V28" s="140">
        <f t="shared" si="12"/>
        <v>0</v>
      </c>
      <c r="W28" s="139">
        <f>IF(D28="PL",$I$14*'BRA Load Pricing Results'!J45/'BRA Load Pricing Results'!$J$55,0)</f>
        <v>0</v>
      </c>
      <c r="X28" s="140">
        <f t="shared" si="1"/>
        <v>0</v>
      </c>
      <c r="Y28" s="141">
        <f t="shared" si="6"/>
        <v>0</v>
      </c>
      <c r="Z28" s="33">
        <f t="shared" si="7"/>
        <v>0</v>
      </c>
      <c r="AA28" s="184">
        <f>Z28/'BRA Load Pricing Results'!J45</f>
        <v>0</v>
      </c>
      <c r="AB28" s="195">
        <f t="shared" si="13"/>
        <v>0</v>
      </c>
      <c r="AC28" s="34"/>
      <c r="AD28" s="25"/>
    </row>
    <row r="29" spans="1:30" ht="12.75">
      <c r="A29" s="57" t="s">
        <v>44</v>
      </c>
      <c r="B29" s="101"/>
      <c r="C29" s="101"/>
      <c r="D29" s="102"/>
      <c r="E29" s="139">
        <f>IF(B29="MAAC",$I$5*'BRA Load Pricing Results'!J46/'BRA Load Pricing Results'!$B$14,0)</f>
        <v>0</v>
      </c>
      <c r="F29" s="140">
        <f t="shared" si="2"/>
        <v>0</v>
      </c>
      <c r="G29" s="139">
        <f>IF(C29="EMAAC",$I$6*'BRA Load Pricing Results'!J46/'BRA Load Pricing Results'!$B$15,0)</f>
        <v>0</v>
      </c>
      <c r="H29" s="140">
        <f>G29*$H$19</f>
        <v>0</v>
      </c>
      <c r="I29" s="139">
        <f>IF(C29="SWMAAC",$I$7*'BRA Load Pricing Results'!J46/'BRA Load Pricing Results'!$B$16,0)</f>
        <v>0</v>
      </c>
      <c r="J29" s="140">
        <f>I29*$J$19</f>
        <v>0</v>
      </c>
      <c r="K29" s="139">
        <f>IF(D29="PS",$I$8*'BRA Load Pricing Results'!J46/'BRA Load Pricing Results'!$J$56,0)</f>
        <v>0</v>
      </c>
      <c r="L29" s="140">
        <f>K29*$L$19</f>
        <v>0</v>
      </c>
      <c r="M29" s="139">
        <f>IF(D29="DPL",$I$9*'BRA Load Pricing Results'!J46/'BRA Load Pricing Results'!$J$48,0)</f>
        <v>0</v>
      </c>
      <c r="N29" s="140">
        <f>M29*$N$19</f>
        <v>0</v>
      </c>
      <c r="O29" s="139">
        <f>IF(D29="PEPCO",$I$10*'BRA Load Pricing Results'!#REF!/'BRA Load Pricing Results'!$J$54,0)</f>
        <v>0</v>
      </c>
      <c r="P29" s="140">
        <f>O29*$P$19</f>
        <v>0</v>
      </c>
      <c r="Q29" s="139">
        <f>IF(D29="ATSI",$I$11*'BRA Load Pricing Results'!J46/'BRA Load Pricing Results'!$J$41,0)</f>
        <v>0</v>
      </c>
      <c r="R29" s="140">
        <f t="shared" si="4"/>
        <v>0</v>
      </c>
      <c r="S29" s="139">
        <f>IF(D29="COMED",$I$12*'BRA Load Pricing Results'!J46/'BRA Load Pricing Results'!$J$43,0)</f>
        <v>0</v>
      </c>
      <c r="T29" s="140">
        <f t="shared" si="5"/>
        <v>0</v>
      </c>
      <c r="U29" s="139">
        <f>IF(D29="BGE",$I$13*'BRA Load Pricing Results'!J46/'BRA Load Pricing Results'!$J$42,0)</f>
        <v>0</v>
      </c>
      <c r="V29" s="140">
        <f t="shared" si="12"/>
        <v>0</v>
      </c>
      <c r="W29" s="139">
        <f>IF(D29="PL",$I$14*'BRA Load Pricing Results'!J46/'BRA Load Pricing Results'!$J$55,0)</f>
        <v>0</v>
      </c>
      <c r="X29" s="140">
        <f t="shared" si="1"/>
        <v>0</v>
      </c>
      <c r="Y29" s="141">
        <f t="shared" si="6"/>
        <v>0</v>
      </c>
      <c r="Z29" s="33">
        <f t="shared" si="7"/>
        <v>0</v>
      </c>
      <c r="AA29" s="184">
        <f>Z29/'BRA Load Pricing Results'!J46</f>
        <v>0</v>
      </c>
      <c r="AB29" s="195">
        <f t="shared" si="13"/>
        <v>0</v>
      </c>
      <c r="AC29" s="34"/>
      <c r="AD29" s="25"/>
    </row>
    <row r="30" spans="1:30" ht="12.75">
      <c r="A30" s="57" t="s">
        <v>31</v>
      </c>
      <c r="B30" s="101"/>
      <c r="C30" s="101"/>
      <c r="D30" s="102"/>
      <c r="E30" s="139">
        <f>IF(B30="MAAC",$I$5*'BRA Load Pricing Results'!J47/'BRA Load Pricing Results'!$B$14,0)</f>
        <v>0</v>
      </c>
      <c r="F30" s="140">
        <f t="shared" si="2"/>
        <v>0</v>
      </c>
      <c r="G30" s="139">
        <f>IF(C30="EMAAC",$I$6*'BRA Load Pricing Results'!J47/'BRA Load Pricing Results'!$B$15,0)</f>
        <v>0</v>
      </c>
      <c r="H30" s="140">
        <f t="shared" si="11"/>
        <v>0</v>
      </c>
      <c r="I30" s="139">
        <f>IF(C30="SWMAAC",$I$7*'BRA Load Pricing Results'!J47/'BRA Load Pricing Results'!$B$16,0)</f>
        <v>0</v>
      </c>
      <c r="J30" s="140">
        <f t="shared" si="8"/>
        <v>0</v>
      </c>
      <c r="K30" s="139">
        <f>IF(D30="PS",$I$8*'BRA Load Pricing Results'!J47/'BRA Load Pricing Results'!$J$56,0)</f>
        <v>0</v>
      </c>
      <c r="L30" s="140">
        <f t="shared" si="9"/>
        <v>0</v>
      </c>
      <c r="M30" s="139">
        <f>IF(D30="DPL",$I$9*'BRA Load Pricing Results'!J47/'BRA Load Pricing Results'!$J$48,0)</f>
        <v>0</v>
      </c>
      <c r="N30" s="140">
        <f t="shared" si="3"/>
        <v>0</v>
      </c>
      <c r="O30" s="139">
        <f>IF(D30="PEPCO",$I$10*'BRA Load Pricing Results'!J47/'BRA Load Pricing Results'!$J$54,0)</f>
        <v>0</v>
      </c>
      <c r="P30" s="140">
        <f t="shared" si="10"/>
        <v>0</v>
      </c>
      <c r="Q30" s="139">
        <f>IF(D30="ATSI",$I$11*'BRA Load Pricing Results'!J47/'BRA Load Pricing Results'!$J$41,0)</f>
        <v>0</v>
      </c>
      <c r="R30" s="140">
        <f t="shared" si="4"/>
        <v>0</v>
      </c>
      <c r="S30" s="139">
        <f>IF(D30="COMED",$I$12*'BRA Load Pricing Results'!J47/'BRA Load Pricing Results'!$J$43,0)</f>
        <v>0</v>
      </c>
      <c r="T30" s="140">
        <f t="shared" si="5"/>
        <v>0</v>
      </c>
      <c r="U30" s="139">
        <f>IF(D30="BGE",$I$13*'BRA Load Pricing Results'!J47/'BRA Load Pricing Results'!$J$42,0)</f>
        <v>0</v>
      </c>
      <c r="V30" s="140">
        <f t="shared" si="12"/>
        <v>0</v>
      </c>
      <c r="W30" s="139">
        <f>IF(D30="PL",$I$14*'BRA Load Pricing Results'!J47/'BRA Load Pricing Results'!$J$55,0)</f>
        <v>0</v>
      </c>
      <c r="X30" s="140">
        <f t="shared" si="1"/>
        <v>0</v>
      </c>
      <c r="Y30" s="141">
        <f t="shared" si="6"/>
        <v>0</v>
      </c>
      <c r="Z30" s="33">
        <f t="shared" si="7"/>
        <v>0</v>
      </c>
      <c r="AA30" s="184">
        <f>Z30/'BRA Load Pricing Results'!J47</f>
        <v>0</v>
      </c>
      <c r="AB30" s="195">
        <f t="shared" si="13"/>
        <v>0</v>
      </c>
      <c r="AC30" s="34"/>
      <c r="AD30" s="25"/>
    </row>
    <row r="31" spans="1:30" ht="12.75">
      <c r="A31" s="57" t="s">
        <v>17</v>
      </c>
      <c r="B31" s="101" t="s">
        <v>29</v>
      </c>
      <c r="C31" s="101" t="s">
        <v>35</v>
      </c>
      <c r="D31" s="102" t="s">
        <v>17</v>
      </c>
      <c r="E31" s="139">
        <f>IF(B31="MAAC",$I$5*'BRA Load Pricing Results'!J48/'BRA Load Pricing Results'!$B$14,0)</f>
        <v>0</v>
      </c>
      <c r="F31" s="140">
        <f aca="true" t="shared" si="14" ref="F31:F40">E31*$F$19</f>
        <v>0</v>
      </c>
      <c r="G31" s="139">
        <f>IF(C31="EMAAC",$I$6*'BRA Load Pricing Results'!J48/'BRA Load Pricing Results'!$B$15,0)</f>
        <v>535.7179473737496</v>
      </c>
      <c r="H31" s="140">
        <f>G31*$H$19</f>
        <v>10591.143819579029</v>
      </c>
      <c r="I31" s="139">
        <f>IF(C31="SWMAAC",$I$7*'BRA Load Pricing Results'!J48/'BRA Load Pricing Results'!$B$16,0)</f>
        <v>0</v>
      </c>
      <c r="J31" s="140">
        <f t="shared" si="8"/>
        <v>0</v>
      </c>
      <c r="K31" s="139">
        <f>IF(D31="PS",$I$8*'BRA Load Pricing Results'!J48/'BRA Load Pricing Results'!$J$56,0)</f>
        <v>0</v>
      </c>
      <c r="L31" s="140">
        <f t="shared" si="9"/>
        <v>0</v>
      </c>
      <c r="M31" s="139">
        <f>IF(D31="DPL",$I$9*'BRA Load Pricing Results'!J48/'BRA Load Pricing Results'!$J$48,0)</f>
        <v>0</v>
      </c>
      <c r="N31" s="140">
        <f t="shared" si="3"/>
        <v>0</v>
      </c>
      <c r="O31" s="139">
        <f>IF(D31="PEPCO",$I$10*'BRA Load Pricing Results'!J48/'BRA Load Pricing Results'!$J$54,0)</f>
        <v>0</v>
      </c>
      <c r="P31" s="140">
        <f t="shared" si="10"/>
        <v>0</v>
      </c>
      <c r="Q31" s="139">
        <f>IF(D31="ATSI",$I$11*'BRA Load Pricing Results'!J48/'BRA Load Pricing Results'!$J$41,0)</f>
        <v>0</v>
      </c>
      <c r="R31" s="140">
        <f t="shared" si="4"/>
        <v>0</v>
      </c>
      <c r="S31" s="139">
        <f>IF(D31="COMED",$I$12*'BRA Load Pricing Results'!J48/'BRA Load Pricing Results'!$J$43,0)</f>
        <v>0</v>
      </c>
      <c r="T31" s="140">
        <f t="shared" si="5"/>
        <v>0</v>
      </c>
      <c r="U31" s="139">
        <f>IF(D31="BGE",$I$13*'BRA Load Pricing Results'!J48/'BRA Load Pricing Results'!$J$42,0)</f>
        <v>0</v>
      </c>
      <c r="V31" s="140">
        <f t="shared" si="12"/>
        <v>0</v>
      </c>
      <c r="W31" s="139">
        <f>IF(D31="PL",$I$14*'BRA Load Pricing Results'!J48/'BRA Load Pricing Results'!$J$55,0)</f>
        <v>0</v>
      </c>
      <c r="X31" s="140">
        <f t="shared" si="1"/>
        <v>0</v>
      </c>
      <c r="Y31" s="141">
        <f t="shared" si="6"/>
        <v>535.7179473737496</v>
      </c>
      <c r="Z31" s="33">
        <f t="shared" si="7"/>
        <v>10591.143819579029</v>
      </c>
      <c r="AA31" s="184">
        <f>Z31/'BRA Load Pricing Results'!J48</f>
        <v>2.333862956633178</v>
      </c>
      <c r="AB31" s="195">
        <f t="shared" si="13"/>
        <v>19.77</v>
      </c>
      <c r="AC31" s="34"/>
      <c r="AD31" s="25"/>
    </row>
    <row r="32" spans="1:30" ht="12.75">
      <c r="A32" s="57" t="s">
        <v>131</v>
      </c>
      <c r="B32" s="101"/>
      <c r="C32" s="101"/>
      <c r="D32" s="102"/>
      <c r="E32" s="139">
        <f>IF(B32="MAAC",$I$5*'BRA Load Pricing Results'!J49/'BRA Load Pricing Results'!$B$14,0)</f>
        <v>0</v>
      </c>
      <c r="F32" s="140">
        <f t="shared" si="14"/>
        <v>0</v>
      </c>
      <c r="G32" s="139">
        <f>IF(C32="EMAAC",$I$6*'BRA Load Pricing Results'!J49/'BRA Load Pricing Results'!$B$15,0)</f>
        <v>0</v>
      </c>
      <c r="H32" s="140">
        <f>G32*$H$19</f>
        <v>0</v>
      </c>
      <c r="I32" s="139">
        <f>IF(C32="SWMAAC",$I$7*'BRA Load Pricing Results'!J49/'BRA Load Pricing Results'!$B$16,0)</f>
        <v>0</v>
      </c>
      <c r="J32" s="140">
        <f>I32*$J$19</f>
        <v>0</v>
      </c>
      <c r="K32" s="139">
        <f>IF(D32="PS",$I$8*'BRA Load Pricing Results'!J49/'BRA Load Pricing Results'!$J$56,0)</f>
        <v>0</v>
      </c>
      <c r="L32" s="140">
        <f>K32*$L$19</f>
        <v>0</v>
      </c>
      <c r="M32" s="139">
        <f>IF(D32="DPL",$I$9*'BRA Load Pricing Results'!J49/'BRA Load Pricing Results'!$J$48,0)</f>
        <v>0</v>
      </c>
      <c r="N32" s="140">
        <f>M32*$N$19</f>
        <v>0</v>
      </c>
      <c r="O32" s="139">
        <f>IF(D32="PEPCO",$I$10*'BRA Load Pricing Results'!J49/'BRA Load Pricing Results'!$J$54,0)</f>
        <v>0</v>
      </c>
      <c r="P32" s="140">
        <f>O32*$P$19</f>
        <v>0</v>
      </c>
      <c r="Q32" s="139">
        <f>IF(D32="ATSI",$I$11*'BRA Load Pricing Results'!J49/'BRA Load Pricing Results'!$J$41,0)</f>
        <v>0</v>
      </c>
      <c r="R32" s="140">
        <f>Q32*$R$19</f>
        <v>0</v>
      </c>
      <c r="S32" s="139">
        <f>IF(D32="COMED",$I$12*'BRA Load Pricing Results'!J49/'BRA Load Pricing Results'!$J$43,0)</f>
        <v>0</v>
      </c>
      <c r="T32" s="140">
        <f t="shared" si="5"/>
        <v>0</v>
      </c>
      <c r="U32" s="139">
        <f>IF(D32="BGE",$I$13*'BRA Load Pricing Results'!J49/'BRA Load Pricing Results'!$J$42,0)</f>
        <v>0</v>
      </c>
      <c r="V32" s="140">
        <f t="shared" si="12"/>
        <v>0</v>
      </c>
      <c r="W32" s="139">
        <f>IF(D32="PL",$I$14*'BRA Load Pricing Results'!J49/'BRA Load Pricing Results'!$J$55,0)</f>
        <v>0</v>
      </c>
      <c r="X32" s="140">
        <f t="shared" si="1"/>
        <v>0</v>
      </c>
      <c r="Y32" s="141">
        <f t="shared" si="6"/>
        <v>0</v>
      </c>
      <c r="Z32" s="33">
        <f t="shared" si="7"/>
        <v>0</v>
      </c>
      <c r="AA32" s="184">
        <f>Z32/'BRA Load Pricing Results'!J49</f>
        <v>0</v>
      </c>
      <c r="AB32" s="195">
        <f>IF(Y32=0,0,Z32/Y32)</f>
        <v>0</v>
      </c>
      <c r="AC32" s="34"/>
      <c r="AD32" s="25"/>
    </row>
    <row r="33" spans="1:30" ht="12.75">
      <c r="A33" s="57" t="s">
        <v>12</v>
      </c>
      <c r="B33" s="101" t="s">
        <v>29</v>
      </c>
      <c r="C33" s="101" t="s">
        <v>35</v>
      </c>
      <c r="D33" s="102"/>
      <c r="E33" s="139">
        <f>IF(B33="MAAC",$I$5*'BRA Load Pricing Results'!J50/'BRA Load Pricing Results'!$B$14,0)</f>
        <v>0</v>
      </c>
      <c r="F33" s="140">
        <f t="shared" si="14"/>
        <v>0</v>
      </c>
      <c r="G33" s="139">
        <f>IF(C33="EMAAC",$I$6*'BRA Load Pricing Results'!J50/'BRA Load Pricing Results'!$B$15,0)</f>
        <v>805.9025607708779</v>
      </c>
      <c r="H33" s="140">
        <f>G33*$H$19</f>
        <v>15932.693626440256</v>
      </c>
      <c r="I33" s="139">
        <f>IF(C33="SWMAAC",$I$7*'BRA Load Pricing Results'!J50/'BRA Load Pricing Results'!$B$16,0)</f>
        <v>0</v>
      </c>
      <c r="J33" s="140">
        <f t="shared" si="8"/>
        <v>0</v>
      </c>
      <c r="K33" s="139">
        <f>IF(D33="PS",$I$8*'BRA Load Pricing Results'!J50/'BRA Load Pricing Results'!$J$56,0)</f>
        <v>0</v>
      </c>
      <c r="L33" s="140">
        <f t="shared" si="9"/>
        <v>0</v>
      </c>
      <c r="M33" s="139">
        <f>IF(D33="DPL",$I$9*'BRA Load Pricing Results'!J50/'BRA Load Pricing Results'!$J$48,0)</f>
        <v>0</v>
      </c>
      <c r="N33" s="140">
        <f t="shared" si="3"/>
        <v>0</v>
      </c>
      <c r="O33" s="139">
        <f>IF(D33="PEPCO",$I$10*'BRA Load Pricing Results'!J50/'BRA Load Pricing Results'!$J$54,0)</f>
        <v>0</v>
      </c>
      <c r="P33" s="140">
        <f t="shared" si="10"/>
        <v>0</v>
      </c>
      <c r="Q33" s="139">
        <f>IF(D33="ATSI",$I$11*'BRA Load Pricing Results'!J50/'BRA Load Pricing Results'!$J$41,0)</f>
        <v>0</v>
      </c>
      <c r="R33" s="140">
        <f t="shared" si="4"/>
        <v>0</v>
      </c>
      <c r="S33" s="139">
        <f>IF(D33="COMED",$I$12*'BRA Load Pricing Results'!J50/'BRA Load Pricing Results'!$J$43,0)</f>
        <v>0</v>
      </c>
      <c r="T33" s="140">
        <f t="shared" si="5"/>
        <v>0</v>
      </c>
      <c r="U33" s="139">
        <f>IF(D33="BGE",$I$13*'BRA Load Pricing Results'!J50/'BRA Load Pricing Results'!$J$42,0)</f>
        <v>0</v>
      </c>
      <c r="V33" s="140">
        <f t="shared" si="12"/>
        <v>0</v>
      </c>
      <c r="W33" s="139">
        <f>IF(D33="PL",$I$14*'BRA Load Pricing Results'!J50/'BRA Load Pricing Results'!$J$55,0)</f>
        <v>0</v>
      </c>
      <c r="X33" s="140">
        <f t="shared" si="1"/>
        <v>0</v>
      </c>
      <c r="Y33" s="141">
        <f t="shared" si="6"/>
        <v>805.9025607708779</v>
      </c>
      <c r="Z33" s="33">
        <f t="shared" si="7"/>
        <v>15932.693626440256</v>
      </c>
      <c r="AA33" s="184">
        <f>Z33/'BRA Load Pricing Results'!J50</f>
        <v>2.333862956633178</v>
      </c>
      <c r="AB33" s="195">
        <f t="shared" si="13"/>
        <v>19.77</v>
      </c>
      <c r="AC33" s="34"/>
      <c r="AD33" s="25"/>
    </row>
    <row r="34" spans="1:30" ht="12.75">
      <c r="A34" s="57" t="s">
        <v>13</v>
      </c>
      <c r="B34" s="101" t="s">
        <v>29</v>
      </c>
      <c r="C34" s="101"/>
      <c r="D34" s="102"/>
      <c r="E34" s="139">
        <f>IF(B34="MAAC",$I$5*'BRA Load Pricing Results'!J51/'BRA Load Pricing Results'!$B$14,0)</f>
        <v>0</v>
      </c>
      <c r="F34" s="140">
        <f t="shared" si="14"/>
        <v>0</v>
      </c>
      <c r="G34" s="139">
        <f>IF(C34="EMAAC",$I$6*'BRA Load Pricing Results'!J51/'BRA Load Pricing Results'!$B$15,0)</f>
        <v>0</v>
      </c>
      <c r="H34" s="140">
        <f t="shared" si="11"/>
        <v>0</v>
      </c>
      <c r="I34" s="139">
        <f>IF(C34="SWMAAC",$I$7*'BRA Load Pricing Results'!J51/'BRA Load Pricing Results'!$B$16,0)</f>
        <v>0</v>
      </c>
      <c r="J34" s="140">
        <f t="shared" si="8"/>
        <v>0</v>
      </c>
      <c r="K34" s="139">
        <f>IF(D34="PS",$I$8*'BRA Load Pricing Results'!J51/'BRA Load Pricing Results'!$J$56,0)</f>
        <v>0</v>
      </c>
      <c r="L34" s="140">
        <f t="shared" si="9"/>
        <v>0</v>
      </c>
      <c r="M34" s="139">
        <f>IF(D34="DPL",$I$9*'BRA Load Pricing Results'!J51/'BRA Load Pricing Results'!$J$48,0)</f>
        <v>0</v>
      </c>
      <c r="N34" s="140">
        <f t="shared" si="3"/>
        <v>0</v>
      </c>
      <c r="O34" s="139">
        <f>IF(D34="PEPCO",$I$10*'BRA Load Pricing Results'!J51/'BRA Load Pricing Results'!$J$54,0)</f>
        <v>0</v>
      </c>
      <c r="P34" s="140">
        <f t="shared" si="10"/>
        <v>0</v>
      </c>
      <c r="Q34" s="139">
        <f>IF(D34="ATSI",$I$11*'BRA Load Pricing Results'!J51/'BRA Load Pricing Results'!$J$41,0)</f>
        <v>0</v>
      </c>
      <c r="R34" s="140">
        <f t="shared" si="4"/>
        <v>0</v>
      </c>
      <c r="S34" s="139">
        <f>IF(D34="COMED",$I$12*'BRA Load Pricing Results'!J51/'BRA Load Pricing Results'!$J$43,0)</f>
        <v>0</v>
      </c>
      <c r="T34" s="140">
        <f t="shared" si="5"/>
        <v>0</v>
      </c>
      <c r="U34" s="139">
        <f>IF(D34="BGE",$I$13*'BRA Load Pricing Results'!J51/'BRA Load Pricing Results'!$J$42,0)</f>
        <v>0</v>
      </c>
      <c r="V34" s="140">
        <f t="shared" si="12"/>
        <v>0</v>
      </c>
      <c r="W34" s="139">
        <f>IF(D34="PL",$I$14*'BRA Load Pricing Results'!J51/'BRA Load Pricing Results'!$J$55,0)</f>
        <v>0</v>
      </c>
      <c r="X34" s="140">
        <f t="shared" si="1"/>
        <v>0</v>
      </c>
      <c r="Y34" s="141">
        <f t="shared" si="6"/>
        <v>0</v>
      </c>
      <c r="Z34" s="33">
        <f t="shared" si="7"/>
        <v>0</v>
      </c>
      <c r="AA34" s="184">
        <f>Z34/'BRA Load Pricing Results'!J51</f>
        <v>0</v>
      </c>
      <c r="AB34" s="195">
        <f t="shared" si="13"/>
        <v>0</v>
      </c>
      <c r="AC34" s="34"/>
      <c r="AD34" s="25"/>
    </row>
    <row r="35" spans="1:30" ht="12.75">
      <c r="A35" s="57" t="s">
        <v>9</v>
      </c>
      <c r="B35" s="101" t="s">
        <v>29</v>
      </c>
      <c r="C35" s="101" t="s">
        <v>35</v>
      </c>
      <c r="D35" s="102"/>
      <c r="E35" s="139">
        <f>IF(B35="MAAC",$I$5*'BRA Load Pricing Results'!J52/'BRA Load Pricing Results'!$B$14,0)</f>
        <v>0</v>
      </c>
      <c r="F35" s="140">
        <f t="shared" si="14"/>
        <v>0</v>
      </c>
      <c r="G35" s="139">
        <f>IF(C35="EMAAC",$I$6*'BRA Load Pricing Results'!J52/'BRA Load Pricing Results'!$B$15,0)</f>
        <v>1162.4094481191903</v>
      </c>
      <c r="H35" s="140">
        <f>G35*$H$19</f>
        <v>22980.834789316392</v>
      </c>
      <c r="I35" s="139">
        <f>IF(C35="SWMAAC",$I$7*'BRA Load Pricing Results'!J52/'BRA Load Pricing Results'!$B$16,0)</f>
        <v>0</v>
      </c>
      <c r="J35" s="140">
        <f t="shared" si="8"/>
        <v>0</v>
      </c>
      <c r="K35" s="139">
        <f>IF(D35="PS",$I$8*'BRA Load Pricing Results'!J52/'BRA Load Pricing Results'!$J$56,0)</f>
        <v>0</v>
      </c>
      <c r="L35" s="140">
        <f t="shared" si="9"/>
        <v>0</v>
      </c>
      <c r="M35" s="139">
        <f>IF(D35="DPL",$I$9*'BRA Load Pricing Results'!J52/'BRA Load Pricing Results'!$J$48,0)</f>
        <v>0</v>
      </c>
      <c r="N35" s="140">
        <f t="shared" si="3"/>
        <v>0</v>
      </c>
      <c r="O35" s="139">
        <f>IF(D35="PEPCO",$I$10*'BRA Load Pricing Results'!J52/'BRA Load Pricing Results'!$J$54,0)</f>
        <v>0</v>
      </c>
      <c r="P35" s="140">
        <f t="shared" si="10"/>
        <v>0</v>
      </c>
      <c r="Q35" s="139">
        <f>IF(D35="ATSI",$I$11*'BRA Load Pricing Results'!J52/'BRA Load Pricing Results'!$J$41,0)</f>
        <v>0</v>
      </c>
      <c r="R35" s="140">
        <f t="shared" si="4"/>
        <v>0</v>
      </c>
      <c r="S35" s="139">
        <f>IF(D35="COMED",$I$12*'BRA Load Pricing Results'!J52/'BRA Load Pricing Results'!$J$43,0)</f>
        <v>0</v>
      </c>
      <c r="T35" s="140">
        <f t="shared" si="5"/>
        <v>0</v>
      </c>
      <c r="U35" s="139">
        <f>IF(D35="BGE",$I$13*'BRA Load Pricing Results'!J52/'BRA Load Pricing Results'!$J$42,0)</f>
        <v>0</v>
      </c>
      <c r="V35" s="140">
        <f t="shared" si="12"/>
        <v>0</v>
      </c>
      <c r="W35" s="139">
        <f>IF(D35="PL",$I$14*'BRA Load Pricing Results'!J52/'BRA Load Pricing Results'!$J$55,0)</f>
        <v>0</v>
      </c>
      <c r="X35" s="140">
        <f t="shared" si="1"/>
        <v>0</v>
      </c>
      <c r="Y35" s="141">
        <f t="shared" si="6"/>
        <v>1162.4094481191903</v>
      </c>
      <c r="Z35" s="33">
        <f t="shared" si="7"/>
        <v>22980.834789316392</v>
      </c>
      <c r="AA35" s="184">
        <f>Z35/'BRA Load Pricing Results'!J52</f>
        <v>2.3338629566331774</v>
      </c>
      <c r="AB35" s="195">
        <f t="shared" si="13"/>
        <v>19.77</v>
      </c>
      <c r="AC35" s="34"/>
      <c r="AD35" s="25"/>
    </row>
    <row r="36" spans="1:30" ht="12.75">
      <c r="A36" s="57" t="s">
        <v>14</v>
      </c>
      <c r="B36" s="101" t="s">
        <v>29</v>
      </c>
      <c r="C36" s="101"/>
      <c r="D36" s="102"/>
      <c r="E36" s="139">
        <f>IF(B36="MAAC",$I$5*'BRA Load Pricing Results'!J53/'BRA Load Pricing Results'!$B$14,0)</f>
        <v>0</v>
      </c>
      <c r="F36" s="140">
        <f t="shared" si="14"/>
        <v>0</v>
      </c>
      <c r="G36" s="139">
        <f>IF(C36="EMAAC",$I$6*'BRA Load Pricing Results'!J53/'BRA Load Pricing Results'!$B$15,0)</f>
        <v>0</v>
      </c>
      <c r="H36" s="140">
        <f t="shared" si="11"/>
        <v>0</v>
      </c>
      <c r="I36" s="139">
        <f>IF(C36="SWMAAC",$I$7*'BRA Load Pricing Results'!J53/'BRA Load Pricing Results'!$B$16,0)</f>
        <v>0</v>
      </c>
      <c r="J36" s="140">
        <f t="shared" si="8"/>
        <v>0</v>
      </c>
      <c r="K36" s="139">
        <f>IF(D36="PS",$I$8*'BRA Load Pricing Results'!J53/'BRA Load Pricing Results'!$J$56,0)</f>
        <v>0</v>
      </c>
      <c r="L36" s="140">
        <f t="shared" si="9"/>
        <v>0</v>
      </c>
      <c r="M36" s="139">
        <f>IF(D36="DPL",$I$9*'BRA Load Pricing Results'!J53/'BRA Load Pricing Results'!$J$48,0)</f>
        <v>0</v>
      </c>
      <c r="N36" s="140">
        <f t="shared" si="3"/>
        <v>0</v>
      </c>
      <c r="O36" s="139">
        <f>IF(D36="PEPCO",$I$10*'BRA Load Pricing Results'!J53/'BRA Load Pricing Results'!$J$54,0)</f>
        <v>0</v>
      </c>
      <c r="P36" s="140">
        <f t="shared" si="10"/>
        <v>0</v>
      </c>
      <c r="Q36" s="139">
        <f>IF(D36="ATSI",$I$11*'BRA Load Pricing Results'!J53/'BRA Load Pricing Results'!$J$41,0)</f>
        <v>0</v>
      </c>
      <c r="R36" s="140">
        <f t="shared" si="4"/>
        <v>0</v>
      </c>
      <c r="S36" s="139">
        <f>IF(D36="COMED",$I$12*'BRA Load Pricing Results'!J53/'BRA Load Pricing Results'!$J$43,0)</f>
        <v>0</v>
      </c>
      <c r="T36" s="140">
        <f t="shared" si="5"/>
        <v>0</v>
      </c>
      <c r="U36" s="139">
        <f>IF(D36="BGE",$I$13*'BRA Load Pricing Results'!J53/'BRA Load Pricing Results'!$J$42,0)</f>
        <v>0</v>
      </c>
      <c r="V36" s="140">
        <f t="shared" si="12"/>
        <v>0</v>
      </c>
      <c r="W36" s="139">
        <f>IF(D36="PL",$I$14*'BRA Load Pricing Results'!J53/'BRA Load Pricing Results'!$J$55,0)</f>
        <v>0</v>
      </c>
      <c r="X36" s="140">
        <f>W36*$X$19</f>
        <v>0</v>
      </c>
      <c r="Y36" s="141">
        <f t="shared" si="6"/>
        <v>0</v>
      </c>
      <c r="Z36" s="33">
        <f t="shared" si="7"/>
        <v>0</v>
      </c>
      <c r="AA36" s="184">
        <f>Z36/'BRA Load Pricing Results'!J53</f>
        <v>0</v>
      </c>
      <c r="AB36" s="195">
        <f t="shared" si="13"/>
        <v>0</v>
      </c>
      <c r="AC36" s="34"/>
      <c r="AD36" s="25"/>
    </row>
    <row r="37" spans="1:30" ht="12.75">
      <c r="A37" s="57" t="s">
        <v>15</v>
      </c>
      <c r="B37" s="101" t="s">
        <v>29</v>
      </c>
      <c r="C37" s="101" t="s">
        <v>5</v>
      </c>
      <c r="D37" s="102" t="s">
        <v>15</v>
      </c>
      <c r="E37" s="139">
        <f>IF(B37="MAAC",$I$5*'BRA Load Pricing Results'!J54/'BRA Load Pricing Results'!$B$14,0)</f>
        <v>0</v>
      </c>
      <c r="F37" s="140">
        <f t="shared" si="14"/>
        <v>0</v>
      </c>
      <c r="G37" s="139">
        <f>IF(C37="EMAAC",$I$6*'BRA Load Pricing Results'!J54/'BRA Load Pricing Results'!$B$15,0)</f>
        <v>0</v>
      </c>
      <c r="H37" s="140">
        <f t="shared" si="11"/>
        <v>0</v>
      </c>
      <c r="I37" s="139">
        <f>IF(C37="SWMAAC",$I$7*'BRA Load Pricing Results'!J54/'BRA Load Pricing Results'!$B$16,0)</f>
        <v>1357.7655591978066</v>
      </c>
      <c r="J37" s="140">
        <f>I37*$J$19</f>
        <v>0</v>
      </c>
      <c r="K37" s="139">
        <f>IF(D37="PS",$I$8*'BRA Load Pricing Results'!J54/'BRA Load Pricing Results'!$J$56,0)</f>
        <v>0</v>
      </c>
      <c r="L37" s="140">
        <f t="shared" si="9"/>
        <v>0</v>
      </c>
      <c r="M37" s="139">
        <f>IF(D37="DPL",$I$9*'BRA Load Pricing Results'!J54/'BRA Load Pricing Results'!$J$48,0)</f>
        <v>0</v>
      </c>
      <c r="N37" s="140">
        <f>M37*N19</f>
        <v>0</v>
      </c>
      <c r="O37" s="139">
        <f>IF(D37="PEPCO",$I$10*'BRA Load Pricing Results'!J54/'BRA Load Pricing Results'!$J$54,0)</f>
        <v>838.1341556223015</v>
      </c>
      <c r="P37" s="140">
        <f>O37*$P$19</f>
        <v>0</v>
      </c>
      <c r="Q37" s="139">
        <f>IF(D37="ATSI",$I$11*'BRA Load Pricing Results'!J54/'BRA Load Pricing Results'!$J$41,0)</f>
        <v>0</v>
      </c>
      <c r="R37" s="140">
        <f t="shared" si="4"/>
        <v>0</v>
      </c>
      <c r="S37" s="139">
        <f>IF(D37="COMED",$I$12*'BRA Load Pricing Results'!J54/'BRA Load Pricing Results'!$J$43,0)</f>
        <v>0</v>
      </c>
      <c r="T37" s="140">
        <f t="shared" si="5"/>
        <v>0</v>
      </c>
      <c r="U37" s="139">
        <f>IF(D37="BGE",$I$13*'BRA Load Pricing Results'!J54/'BRA Load Pricing Results'!$J$42,0)</f>
        <v>0</v>
      </c>
      <c r="V37" s="140">
        <f t="shared" si="12"/>
        <v>0</v>
      </c>
      <c r="W37" s="139">
        <f>IF(D37="PL",$I$14*'BRA Load Pricing Results'!J54/'BRA Load Pricing Results'!$J$55,0)</f>
        <v>0</v>
      </c>
      <c r="X37" s="140">
        <f t="shared" si="1"/>
        <v>0</v>
      </c>
      <c r="Y37" s="141">
        <f t="shared" si="6"/>
        <v>1357.7655591978066</v>
      </c>
      <c r="Z37" s="33">
        <f t="shared" si="7"/>
        <v>0</v>
      </c>
      <c r="AA37" s="184">
        <f>Z37/'BRA Load Pricing Results'!J54</f>
        <v>0</v>
      </c>
      <c r="AB37" s="195">
        <f t="shared" si="13"/>
        <v>0</v>
      </c>
      <c r="AC37" s="34"/>
      <c r="AD37" s="25"/>
    </row>
    <row r="38" spans="1:30" ht="12.75">
      <c r="A38" s="57" t="s">
        <v>10</v>
      </c>
      <c r="B38" s="101" t="s">
        <v>29</v>
      </c>
      <c r="C38" s="101"/>
      <c r="D38" s="102" t="s">
        <v>10</v>
      </c>
      <c r="E38" s="139">
        <f>IF(B38="MAAC",$I$5*'BRA Load Pricing Results'!J55/'BRA Load Pricing Results'!$B$14,0)</f>
        <v>0</v>
      </c>
      <c r="F38" s="140">
        <f t="shared" si="14"/>
        <v>0</v>
      </c>
      <c r="G38" s="139">
        <f>IF(C38="EMAAC",$I$6*'BRA Load Pricing Results'!J55/'BRA Load Pricing Results'!$B$15,0)</f>
        <v>0</v>
      </c>
      <c r="H38" s="140">
        <f t="shared" si="11"/>
        <v>0</v>
      </c>
      <c r="I38" s="139">
        <f>IF(C38="SWMAAC",$I$7*'BRA Load Pricing Results'!J55/'BRA Load Pricing Results'!$B$16,0)</f>
        <v>0</v>
      </c>
      <c r="J38" s="140">
        <f t="shared" si="8"/>
        <v>0</v>
      </c>
      <c r="K38" s="139">
        <f>IF(D38="PS",$I$8*'BRA Load Pricing Results'!J55/'BRA Load Pricing Results'!$J$56,0)</f>
        <v>0</v>
      </c>
      <c r="L38" s="140">
        <f t="shared" si="9"/>
        <v>0</v>
      </c>
      <c r="M38" s="139">
        <f>IF(D38="DPL",$I$9*'BRA Load Pricing Results'!J55/'BRA Load Pricing Results'!$J$48,0)</f>
        <v>0</v>
      </c>
      <c r="N38" s="140">
        <f>M38*$N$19</f>
        <v>0</v>
      </c>
      <c r="O38" s="139">
        <f>IF(D38="PEPCO",$I$10*'BRA Load Pricing Results'!J55/'BRA Load Pricing Results'!$J$54,0)</f>
        <v>0</v>
      </c>
      <c r="P38" s="140">
        <f>O38*$P$19</f>
        <v>0</v>
      </c>
      <c r="Q38" s="139">
        <f>IF(D38="ATSI",$I$11*'BRA Load Pricing Results'!J55/'BRA Load Pricing Results'!$J$41,0)</f>
        <v>0</v>
      </c>
      <c r="R38" s="140">
        <f>Q38*$R$19</f>
        <v>0</v>
      </c>
      <c r="S38" s="139">
        <f>IF(D38="COMED",$I$12*'BRA Load Pricing Results'!J55/'BRA Load Pricing Results'!$J$43,0)</f>
        <v>0</v>
      </c>
      <c r="T38" s="140">
        <f t="shared" si="5"/>
        <v>0</v>
      </c>
      <c r="U38" s="139">
        <f>IF(D38="BGE",$I$13*'BRA Load Pricing Results'!J55/'BRA Load Pricing Results'!$J$42,0)</f>
        <v>0</v>
      </c>
      <c r="V38" s="140">
        <f t="shared" si="12"/>
        <v>0</v>
      </c>
      <c r="W38" s="139">
        <f>IF(D38="PL",$I$14*'BRA Load Pricing Results'!J55/'BRA Load Pricing Results'!$J$55,0)</f>
        <v>0</v>
      </c>
      <c r="X38" s="140">
        <f>W38*$X$19</f>
        <v>0</v>
      </c>
      <c r="Y38" s="141">
        <f t="shared" si="6"/>
        <v>0</v>
      </c>
      <c r="Z38" s="33">
        <f t="shared" si="7"/>
        <v>0</v>
      </c>
      <c r="AA38" s="184">
        <f>Z38/'BRA Load Pricing Results'!J55</f>
        <v>0</v>
      </c>
      <c r="AB38" s="195">
        <f t="shared" si="13"/>
        <v>0</v>
      </c>
      <c r="AC38" s="34"/>
      <c r="AD38" s="25"/>
    </row>
    <row r="39" spans="1:30" ht="12.75">
      <c r="A39" s="57" t="s">
        <v>8</v>
      </c>
      <c r="B39" s="101" t="s">
        <v>29</v>
      </c>
      <c r="C39" s="101" t="s">
        <v>35</v>
      </c>
      <c r="D39" s="102" t="s">
        <v>8</v>
      </c>
      <c r="E39" s="139">
        <f>IF(B39="MAAC",$I$5*'BRA Load Pricing Results'!J56/'BRA Load Pricing Results'!$B$14,0)</f>
        <v>0</v>
      </c>
      <c r="F39" s="140">
        <f t="shared" si="14"/>
        <v>0</v>
      </c>
      <c r="G39" s="139">
        <f>IF(C39="EMAAC",$I$6*'BRA Load Pricing Results'!J56/'BRA Load Pricing Results'!$B$15,0)</f>
        <v>1349.965450634361</v>
      </c>
      <c r="H39" s="140">
        <f>G39*$H$19</f>
        <v>26688.81695904132</v>
      </c>
      <c r="I39" s="139">
        <f>IF(C39="SWMAAC",$I$7*'BRA Load Pricing Results'!J56/'BRA Load Pricing Results'!$B$16,0)</f>
        <v>0</v>
      </c>
      <c r="J39" s="140">
        <f t="shared" si="8"/>
        <v>0</v>
      </c>
      <c r="K39" s="139">
        <f>IF(D39="PS",$I$8*'BRA Load Pricing Results'!J56/'BRA Load Pricing Results'!$J$56,0)</f>
        <v>5980.46877214355</v>
      </c>
      <c r="L39" s="140">
        <f>K39*$L$19</f>
        <v>0</v>
      </c>
      <c r="M39" s="139">
        <f>IF(D39="DPL",$I$9*'BRA Load Pricing Results'!J56/'BRA Load Pricing Results'!$J$48,0)</f>
        <v>0</v>
      </c>
      <c r="N39" s="140">
        <f>M39*$N$19</f>
        <v>0</v>
      </c>
      <c r="O39" s="139">
        <f>IF(D39="PEPCO",$I$10*'BRA Load Pricing Results'!J56/'BRA Load Pricing Results'!$J$54,0)</f>
        <v>0</v>
      </c>
      <c r="P39" s="140">
        <f>O39*$P$19</f>
        <v>0</v>
      </c>
      <c r="Q39" s="139">
        <f>IF(D39="ATSI",$I$11*'BRA Load Pricing Results'!J56/'BRA Load Pricing Results'!$J$41,0)</f>
        <v>0</v>
      </c>
      <c r="R39" s="140">
        <f t="shared" si="4"/>
        <v>0</v>
      </c>
      <c r="S39" s="139">
        <f>IF(D39="COMED",$I$12*'BRA Load Pricing Results'!J56/'BRA Load Pricing Results'!$J$43,0)</f>
        <v>0</v>
      </c>
      <c r="T39" s="140">
        <f t="shared" si="5"/>
        <v>0</v>
      </c>
      <c r="U39" s="139">
        <f>IF(D39="BGE",$I$13*'BRA Load Pricing Results'!J56/'BRA Load Pricing Results'!$J$42,0)</f>
        <v>0</v>
      </c>
      <c r="V39" s="140">
        <f t="shared" si="12"/>
        <v>0</v>
      </c>
      <c r="W39" s="139">
        <f>IF(D39="PL",$I$14*'BRA Load Pricing Results'!J56/'BRA Load Pricing Results'!$J$55,0)</f>
        <v>0</v>
      </c>
      <c r="X39" s="140">
        <f>W39*$X$19</f>
        <v>0</v>
      </c>
      <c r="Y39" s="141">
        <f t="shared" si="6"/>
        <v>5980.46877214355</v>
      </c>
      <c r="Z39" s="33">
        <f t="shared" si="7"/>
        <v>26688.81695904132</v>
      </c>
      <c r="AA39" s="184">
        <f>Z39/'BRA Load Pricing Results'!J56</f>
        <v>2.333862956633178</v>
      </c>
      <c r="AB39" s="195">
        <f t="shared" si="13"/>
        <v>4.462663041291223</v>
      </c>
      <c r="AC39" s="34"/>
      <c r="AD39" s="25"/>
    </row>
    <row r="40" spans="1:30" ht="13.5" thickBot="1">
      <c r="A40" s="144" t="s">
        <v>18</v>
      </c>
      <c r="B40" s="105" t="s">
        <v>29</v>
      </c>
      <c r="C40" s="105" t="s">
        <v>35</v>
      </c>
      <c r="D40" s="106"/>
      <c r="E40" s="145">
        <f>IF(B40="MAAC",$I$5*'BRA Load Pricing Results'!J57/'BRA Load Pricing Results'!$B$14,0)</f>
        <v>0</v>
      </c>
      <c r="F40" s="146">
        <f t="shared" si="14"/>
        <v>0</v>
      </c>
      <c r="G40" s="145">
        <f>IF(C40="EMAAC",$I$6*'BRA Load Pricing Results'!J57/'BRA Load Pricing Results'!$B$15,0)</f>
        <v>53.76331800763114</v>
      </c>
      <c r="H40" s="146">
        <f>G40*$H$19</f>
        <v>1062.9007970108676</v>
      </c>
      <c r="I40" s="145">
        <f>IF(C40="SWMAAC",$I$7*'BRA Load Pricing Results'!J57/'BRA Load Pricing Results'!$B$16,0)</f>
        <v>0</v>
      </c>
      <c r="J40" s="146">
        <f t="shared" si="8"/>
        <v>0</v>
      </c>
      <c r="K40" s="145">
        <f>IF(D40="PS",$I$8*'BRA Load Pricing Results'!J57/'BRA Load Pricing Results'!$J$56,0)</f>
        <v>0</v>
      </c>
      <c r="L40" s="146">
        <f t="shared" si="9"/>
        <v>0</v>
      </c>
      <c r="M40" s="145">
        <f>IF(D40="DPL",$I$9*'BRA Load Pricing Results'!J57/'BRA Load Pricing Results'!$J$48,0)</f>
        <v>0</v>
      </c>
      <c r="N40" s="146">
        <f>M40*$N$19</f>
        <v>0</v>
      </c>
      <c r="O40" s="145">
        <f>IF(D40="PEPCO",$I$10*'BRA Load Pricing Results'!J57/'BRA Load Pricing Results'!$J$54,0)</f>
        <v>0</v>
      </c>
      <c r="P40" s="146">
        <f>O40*$P$19</f>
        <v>0</v>
      </c>
      <c r="Q40" s="145">
        <f>IF(D40="ATSI",$I$11*'BRA Load Pricing Results'!J57/'BRA Load Pricing Results'!$J$41,0)</f>
        <v>0</v>
      </c>
      <c r="R40" s="146">
        <f t="shared" si="4"/>
        <v>0</v>
      </c>
      <c r="S40" s="139">
        <f>IF(D40="COMED",$I$12*'BRA Load Pricing Results'!J57/'BRA Load Pricing Results'!$J$43,0)</f>
        <v>0</v>
      </c>
      <c r="T40" s="140">
        <f t="shared" si="5"/>
        <v>0</v>
      </c>
      <c r="U40" s="139">
        <f>IF(D40="BGE",$I$13*'BRA Load Pricing Results'!J57/'BRA Load Pricing Results'!$J$42,0)</f>
        <v>0</v>
      </c>
      <c r="V40" s="140">
        <f t="shared" si="12"/>
        <v>0</v>
      </c>
      <c r="W40" s="139">
        <f>IF(D40="PL",$I$14*'BRA Load Pricing Results'!J57/'BRA Load Pricing Results'!$J$55,0)</f>
        <v>0</v>
      </c>
      <c r="X40" s="140">
        <f>W40*$X$19</f>
        <v>0</v>
      </c>
      <c r="Y40" s="141">
        <f t="shared" si="6"/>
        <v>53.76331800763114</v>
      </c>
      <c r="Z40" s="33">
        <f>F40+H40+J40+L40+N40+P40+R40+T40+V40+X40</f>
        <v>1062.9007970108676</v>
      </c>
      <c r="AA40" s="196">
        <f>Z40/'BRA Load Pricing Results'!J57</f>
        <v>2.3338629566331774</v>
      </c>
      <c r="AB40" s="197">
        <f t="shared" si="13"/>
        <v>19.77</v>
      </c>
      <c r="AC40" s="34"/>
      <c r="AD40" s="25"/>
    </row>
    <row r="41" spans="1:29" ht="13.5" thickBot="1">
      <c r="A41" s="640" t="s">
        <v>72</v>
      </c>
      <c r="B41" s="641"/>
      <c r="C41" s="641"/>
      <c r="D41" s="642"/>
      <c r="E41" s="147">
        <f>SUM(E21:E40)</f>
        <v>0</v>
      </c>
      <c r="F41" s="148">
        <f>SUM(F21:F40)</f>
        <v>0</v>
      </c>
      <c r="G41" s="147">
        <f aca="true" t="shared" si="15" ref="G41:L41">SUM(G21:G40)</f>
        <v>4242.24043617466</v>
      </c>
      <c r="H41" s="148">
        <f t="shared" si="15"/>
        <v>83869.09342317302</v>
      </c>
      <c r="I41" s="147">
        <f t="shared" si="15"/>
        <v>2794.3992916322477</v>
      </c>
      <c r="J41" s="148">
        <f t="shared" si="15"/>
        <v>0</v>
      </c>
      <c r="K41" s="147">
        <f>SUM(K21:K40)</f>
        <v>5980.46877214355</v>
      </c>
      <c r="L41" s="148">
        <f t="shared" si="15"/>
        <v>0</v>
      </c>
      <c r="M41" s="147">
        <f aca="true" t="shared" si="16" ref="M41:R41">SUM(M21:M40)</f>
        <v>0</v>
      </c>
      <c r="N41" s="148">
        <f t="shared" si="16"/>
        <v>0</v>
      </c>
      <c r="O41" s="147">
        <f t="shared" si="16"/>
        <v>838.1341556223015</v>
      </c>
      <c r="P41" s="148">
        <f t="shared" si="16"/>
        <v>0</v>
      </c>
      <c r="Q41" s="147">
        <f t="shared" si="16"/>
        <v>4330.029864018563</v>
      </c>
      <c r="R41" s="148">
        <f t="shared" si="16"/>
        <v>0</v>
      </c>
      <c r="S41" s="147">
        <f aca="true" t="shared" si="17" ref="S41:X41">SUM(S21:S40)</f>
        <v>2355.1271600321525</v>
      </c>
      <c r="T41" s="148">
        <f>SUM(T21:T40)</f>
        <v>242036.4182365043</v>
      </c>
      <c r="U41" s="147">
        <f t="shared" si="17"/>
        <v>4720.265136009944</v>
      </c>
      <c r="V41" s="148">
        <f t="shared" si="17"/>
        <v>1416.0795408029833</v>
      </c>
      <c r="W41" s="147">
        <f>SUM(W21:W40)</f>
        <v>0</v>
      </c>
      <c r="X41" s="148">
        <f t="shared" si="17"/>
        <v>0</v>
      </c>
      <c r="Y41" s="149"/>
      <c r="Z41" s="150">
        <f>SUM(Z21:Z40)</f>
        <v>327321.59120048035</v>
      </c>
      <c r="AA41" s="151"/>
      <c r="AB41" s="152"/>
      <c r="AC41" s="13"/>
    </row>
    <row r="42" spans="1:28" ht="12.75">
      <c r="A42" s="25" t="s">
        <v>73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 ht="12.75">
      <c r="A43" s="25" t="s">
        <v>74</v>
      </c>
      <c r="B43" s="23"/>
      <c r="C43" s="23"/>
      <c r="D43" s="23"/>
      <c r="E43" s="23"/>
      <c r="F43" s="23"/>
      <c r="G43" s="23"/>
      <c r="H43" s="23"/>
      <c r="I43" s="23"/>
      <c r="J43" s="23"/>
      <c r="K43" s="56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ht="12.75">
      <c r="A44" s="25" t="s">
        <v>165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ht="12.75">
      <c r="A45" s="25" t="s">
        <v>75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 ht="12.75">
      <c r="A46" s="25" t="s">
        <v>76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</sheetData>
  <sheetProtection/>
  <mergeCells count="12">
    <mergeCell ref="S18:T18"/>
    <mergeCell ref="U18:V18"/>
    <mergeCell ref="W18:X18"/>
    <mergeCell ref="Q18:R18"/>
    <mergeCell ref="O18:P18"/>
    <mergeCell ref="I18:J18"/>
    <mergeCell ref="A17:D19"/>
    <mergeCell ref="A41:D41"/>
    <mergeCell ref="E18:F18"/>
    <mergeCell ref="G18:H18"/>
    <mergeCell ref="K18:L18"/>
    <mergeCell ref="M18:N18"/>
  </mergeCells>
  <printOptions horizontalCentered="1" verticalCentered="1"/>
  <pageMargins left="0.45" right="0.45" top="0.5" bottom="0.5" header="0.3" footer="0.3"/>
  <pageSetup fitToHeight="1" fitToWidth="1" horizontalDpi="600" verticalDpi="600" orientation="landscape" paperSize="17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27" width="15.7109375" style="0" customWidth="1"/>
    <col min="28" max="28" width="19.00390625" style="0" bestFit="1" customWidth="1"/>
    <col min="29" max="29" width="12.7109375" style="0" customWidth="1"/>
  </cols>
  <sheetData>
    <row r="1" spans="1:2" ht="18.75">
      <c r="A1" s="111" t="s">
        <v>224</v>
      </c>
      <c r="B1" s="11" t="s">
        <v>24</v>
      </c>
    </row>
    <row r="2" spans="1:3" ht="19.5" thickBot="1">
      <c r="A2" s="3"/>
      <c r="C2" s="18"/>
    </row>
    <row r="3" spans="1:22" ht="13.5" thickBot="1">
      <c r="A3" s="649" t="s">
        <v>64</v>
      </c>
      <c r="B3" s="23"/>
      <c r="C3" s="155" t="s">
        <v>139</v>
      </c>
      <c r="D3" s="23"/>
      <c r="E3" s="23"/>
      <c r="F3" s="23"/>
      <c r="G3" s="23"/>
      <c r="H3" s="23"/>
      <c r="I3" s="155" t="s">
        <v>139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8.75" customHeight="1" thickBot="1">
      <c r="A4" s="650"/>
      <c r="B4" s="289" t="s">
        <v>29</v>
      </c>
      <c r="C4" s="289" t="s">
        <v>29</v>
      </c>
      <c r="D4" s="290" t="s">
        <v>35</v>
      </c>
      <c r="E4" s="290" t="s">
        <v>5</v>
      </c>
      <c r="F4" s="290" t="s">
        <v>8</v>
      </c>
      <c r="G4" s="290" t="s">
        <v>36</v>
      </c>
      <c r="H4" s="290" t="s">
        <v>37</v>
      </c>
      <c r="I4" s="290" t="s">
        <v>37</v>
      </c>
      <c r="J4" s="290" t="s">
        <v>15</v>
      </c>
      <c r="K4" s="290" t="s">
        <v>11</v>
      </c>
      <c r="L4" s="175"/>
      <c r="M4" s="175"/>
      <c r="N4" s="175"/>
      <c r="O4" s="175"/>
      <c r="P4" s="175"/>
      <c r="Q4" s="23"/>
      <c r="R4" s="23"/>
      <c r="S4" s="23"/>
      <c r="T4" s="23"/>
      <c r="U4" s="23"/>
      <c r="V4" s="23"/>
    </row>
    <row r="5" spans="1:22" ht="25.5">
      <c r="A5" s="291" t="s">
        <v>103</v>
      </c>
      <c r="B5" s="292" t="s">
        <v>114</v>
      </c>
      <c r="C5" s="292" t="s">
        <v>140</v>
      </c>
      <c r="D5" s="293" t="s">
        <v>148</v>
      </c>
      <c r="E5" s="293" t="s">
        <v>148</v>
      </c>
      <c r="F5" s="293" t="s">
        <v>148</v>
      </c>
      <c r="G5" s="293" t="s">
        <v>148</v>
      </c>
      <c r="H5" s="293" t="s">
        <v>114</v>
      </c>
      <c r="I5" s="293" t="s">
        <v>140</v>
      </c>
      <c r="J5" s="293" t="s">
        <v>148</v>
      </c>
      <c r="K5" s="293" t="s">
        <v>148</v>
      </c>
      <c r="L5" s="175"/>
      <c r="M5" s="175"/>
      <c r="N5" s="175"/>
      <c r="O5" s="175"/>
      <c r="P5" s="175"/>
      <c r="Q5" s="34"/>
      <c r="R5" s="23"/>
      <c r="S5" s="23"/>
      <c r="T5" s="23"/>
      <c r="U5" s="23"/>
      <c r="V5" s="23"/>
    </row>
    <row r="6" spans="1:22" ht="19.5" customHeight="1">
      <c r="A6" s="162" t="s">
        <v>192</v>
      </c>
      <c r="B6" s="232"/>
      <c r="C6" s="232"/>
      <c r="D6" s="233"/>
      <c r="E6" s="233"/>
      <c r="F6" s="233"/>
      <c r="G6" s="233"/>
      <c r="H6" s="233"/>
      <c r="I6" s="233"/>
      <c r="J6" s="233"/>
      <c r="K6" s="233"/>
      <c r="L6" s="175"/>
      <c r="M6" s="175"/>
      <c r="N6" s="175"/>
      <c r="O6" s="175"/>
      <c r="P6" s="175"/>
      <c r="Q6" s="34"/>
      <c r="R6" s="23"/>
      <c r="S6" s="23"/>
      <c r="T6" s="23"/>
      <c r="U6" s="23"/>
      <c r="V6" s="23"/>
    </row>
    <row r="7" spans="1:22" ht="19.5" customHeight="1">
      <c r="A7" s="294" t="s">
        <v>95</v>
      </c>
      <c r="B7" s="234">
        <v>160</v>
      </c>
      <c r="C7" s="235">
        <f>B7*'BRA CTRs'!$F$5/$B$29</f>
        <v>127.39607465380882</v>
      </c>
      <c r="D7" s="235">
        <v>0</v>
      </c>
      <c r="E7" s="235">
        <v>0</v>
      </c>
      <c r="F7" s="235">
        <v>0</v>
      </c>
      <c r="G7" s="235">
        <v>0</v>
      </c>
      <c r="H7" s="235">
        <v>0</v>
      </c>
      <c r="I7" s="235">
        <v>0</v>
      </c>
      <c r="J7" s="235">
        <v>0</v>
      </c>
      <c r="K7" s="235">
        <v>0</v>
      </c>
      <c r="L7" s="40"/>
      <c r="M7" s="40"/>
      <c r="N7" s="40"/>
      <c r="O7" s="40"/>
      <c r="P7" s="40"/>
      <c r="Q7" s="34"/>
      <c r="R7" s="23"/>
      <c r="S7" s="23"/>
      <c r="T7" s="23"/>
      <c r="U7" s="23"/>
      <c r="V7" s="23"/>
    </row>
    <row r="8" spans="1:22" ht="19.5" customHeight="1">
      <c r="A8" s="294" t="s">
        <v>96</v>
      </c>
      <c r="B8" s="234">
        <v>106</v>
      </c>
      <c r="C8" s="235">
        <f>B8*'BRA CTRs'!$F$5/$B$29</f>
        <v>84.39989945814835</v>
      </c>
      <c r="D8" s="235">
        <v>0</v>
      </c>
      <c r="E8" s="235">
        <v>0</v>
      </c>
      <c r="F8" s="235">
        <v>0</v>
      </c>
      <c r="G8" s="235">
        <v>0</v>
      </c>
      <c r="H8" s="235">
        <v>0</v>
      </c>
      <c r="I8" s="235">
        <v>0</v>
      </c>
      <c r="J8" s="235">
        <v>0</v>
      </c>
      <c r="K8" s="235">
        <v>0</v>
      </c>
      <c r="L8" s="40"/>
      <c r="M8" s="40"/>
      <c r="N8" s="40"/>
      <c r="O8" s="40"/>
      <c r="P8" s="40"/>
      <c r="Q8" s="34"/>
      <c r="R8" s="23"/>
      <c r="S8" s="23"/>
      <c r="T8" s="23"/>
      <c r="U8" s="23"/>
      <c r="V8" s="23"/>
    </row>
    <row r="9" spans="1:22" ht="19.5" customHeight="1">
      <c r="A9" s="294" t="s">
        <v>99</v>
      </c>
      <c r="B9" s="234">
        <v>117</v>
      </c>
      <c r="C9" s="235">
        <f>B9*'BRA CTRs'!$F$5/$B$29</f>
        <v>93.1583795905977</v>
      </c>
      <c r="D9" s="235">
        <v>0</v>
      </c>
      <c r="E9" s="235">
        <v>0</v>
      </c>
      <c r="F9" s="235">
        <v>0</v>
      </c>
      <c r="G9" s="235">
        <v>0</v>
      </c>
      <c r="H9" s="235">
        <v>0</v>
      </c>
      <c r="I9" s="235">
        <v>0</v>
      </c>
      <c r="J9" s="235">
        <v>0</v>
      </c>
      <c r="K9" s="235">
        <v>0</v>
      </c>
      <c r="L9" s="40"/>
      <c r="M9" s="40"/>
      <c r="N9" s="40"/>
      <c r="O9" s="40"/>
      <c r="P9" s="40"/>
      <c r="Q9" s="34"/>
      <c r="R9" s="23"/>
      <c r="S9" s="23"/>
      <c r="T9" s="23"/>
      <c r="U9" s="23"/>
      <c r="V9" s="23"/>
    </row>
    <row r="10" spans="1:22" ht="24.75" customHeight="1">
      <c r="A10" s="294" t="s">
        <v>100</v>
      </c>
      <c r="B10" s="234">
        <v>0</v>
      </c>
      <c r="C10" s="235">
        <f>B10*'BRA CTRs'!$F$5/$B$29</f>
        <v>0</v>
      </c>
      <c r="D10" s="235">
        <v>898</v>
      </c>
      <c r="E10" s="235">
        <v>0</v>
      </c>
      <c r="F10" s="235">
        <v>68.9</v>
      </c>
      <c r="G10" s="235">
        <v>105.5</v>
      </c>
      <c r="H10" s="235">
        <v>0</v>
      </c>
      <c r="I10" s="235">
        <v>0</v>
      </c>
      <c r="J10" s="235">
        <v>0</v>
      </c>
      <c r="K10" s="235">
        <v>0</v>
      </c>
      <c r="L10" s="40"/>
      <c r="M10" s="40"/>
      <c r="N10" s="40"/>
      <c r="O10" s="40"/>
      <c r="P10" s="40"/>
      <c r="Q10" s="34"/>
      <c r="R10" s="23"/>
      <c r="S10" s="23"/>
      <c r="T10" s="23"/>
      <c r="U10" s="23"/>
      <c r="V10" s="23"/>
    </row>
    <row r="11" spans="1:22" ht="19.5" customHeight="1">
      <c r="A11" s="294" t="s">
        <v>132</v>
      </c>
      <c r="B11" s="234">
        <v>339</v>
      </c>
      <c r="C11" s="235">
        <f>B11*'BRA CTRs'!$F$5/$B$29</f>
        <v>269.92043317275744</v>
      </c>
      <c r="D11" s="235">
        <v>0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40"/>
      <c r="M11" s="40"/>
      <c r="N11" s="40"/>
      <c r="O11" s="40"/>
      <c r="P11" s="40"/>
      <c r="Q11" s="34"/>
      <c r="R11" s="23"/>
      <c r="S11" s="23"/>
      <c r="T11" s="23"/>
      <c r="U11" s="23"/>
      <c r="V11" s="23"/>
    </row>
    <row r="12" spans="1:22" ht="24.75" customHeight="1">
      <c r="A12" s="294" t="s">
        <v>194</v>
      </c>
      <c r="B12" s="234">
        <v>0</v>
      </c>
      <c r="C12" s="235">
        <f>B12*'BRA CTRs'!$F$5/$B$29</f>
        <v>0</v>
      </c>
      <c r="D12" s="235">
        <v>0</v>
      </c>
      <c r="E12" s="235">
        <v>256</v>
      </c>
      <c r="F12" s="235">
        <v>0</v>
      </c>
      <c r="G12" s="235">
        <v>0</v>
      </c>
      <c r="H12" s="235">
        <v>0</v>
      </c>
      <c r="I12" s="235">
        <v>0</v>
      </c>
      <c r="J12" s="235">
        <v>0</v>
      </c>
      <c r="K12" s="235">
        <v>0</v>
      </c>
      <c r="L12" s="40"/>
      <c r="M12" s="40"/>
      <c r="N12" s="40"/>
      <c r="O12" s="40"/>
      <c r="P12" s="40"/>
      <c r="Q12" s="34"/>
      <c r="R12" s="23"/>
      <c r="S12" s="23"/>
      <c r="T12" s="23"/>
      <c r="U12" s="23"/>
      <c r="V12" s="23"/>
    </row>
    <row r="13" spans="1:22" ht="19.5" customHeight="1">
      <c r="A13" s="295" t="s">
        <v>193</v>
      </c>
      <c r="B13" s="236">
        <f aca="true" t="shared" si="0" ref="B13:H13">SUM(B7:B12)</f>
        <v>722</v>
      </c>
      <c r="C13" s="236">
        <f>SUM(C7:C12)</f>
        <v>574.8747868753123</v>
      </c>
      <c r="D13" s="237">
        <f t="shared" si="0"/>
        <v>898</v>
      </c>
      <c r="E13" s="237">
        <f t="shared" si="0"/>
        <v>256</v>
      </c>
      <c r="F13" s="237">
        <f t="shared" si="0"/>
        <v>68.9</v>
      </c>
      <c r="G13" s="237">
        <f t="shared" si="0"/>
        <v>105.5</v>
      </c>
      <c r="H13" s="237">
        <f t="shared" si="0"/>
        <v>0</v>
      </c>
      <c r="I13" s="237">
        <f>SUM(I7:I12)</f>
        <v>0</v>
      </c>
      <c r="J13" s="237">
        <f>SUM(J7:J12)</f>
        <v>0</v>
      </c>
      <c r="K13" s="237">
        <f>SUM(K7:K12)</f>
        <v>0</v>
      </c>
      <c r="L13" s="40"/>
      <c r="M13" s="40"/>
      <c r="N13" s="40"/>
      <c r="O13" s="40"/>
      <c r="P13" s="40"/>
      <c r="Q13" s="34"/>
      <c r="R13" s="23"/>
      <c r="S13" s="23"/>
      <c r="T13" s="23"/>
      <c r="U13" s="23"/>
      <c r="V13" s="23"/>
    </row>
    <row r="14" spans="1:22" ht="19.5" customHeight="1">
      <c r="A14" s="162" t="s">
        <v>170</v>
      </c>
      <c r="B14" s="234" t="s">
        <v>24</v>
      </c>
      <c r="C14" s="234" t="s">
        <v>24</v>
      </c>
      <c r="D14" s="235"/>
      <c r="E14" s="235"/>
      <c r="F14" s="235"/>
      <c r="G14" s="235"/>
      <c r="H14" s="235"/>
      <c r="I14" s="235"/>
      <c r="J14" s="235"/>
      <c r="K14" s="235"/>
      <c r="L14" s="176"/>
      <c r="M14" s="69"/>
      <c r="N14" s="69"/>
      <c r="O14" s="69"/>
      <c r="P14" s="176"/>
      <c r="Q14" s="34"/>
      <c r="R14" s="23"/>
      <c r="S14" s="23"/>
      <c r="T14" s="23"/>
      <c r="U14" s="23"/>
      <c r="V14" s="23"/>
    </row>
    <row r="15" spans="1:22" ht="24.75" customHeight="1">
      <c r="A15" s="294" t="s">
        <v>220</v>
      </c>
      <c r="B15" s="234">
        <v>16</v>
      </c>
      <c r="C15" s="235">
        <f>B15*'BRA CTRs'!$F$5/$B$29</f>
        <v>12.739607465380884</v>
      </c>
      <c r="D15" s="235">
        <v>0</v>
      </c>
      <c r="E15" s="235">
        <v>237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124</v>
      </c>
      <c r="L15" s="243" t="s">
        <v>24</v>
      </c>
      <c r="M15" s="69"/>
      <c r="N15" s="69"/>
      <c r="O15" s="69"/>
      <c r="P15" s="176"/>
      <c r="Q15" s="34"/>
      <c r="R15" s="23"/>
      <c r="S15" s="23"/>
      <c r="T15" s="23"/>
      <c r="U15" s="23"/>
      <c r="V15" s="23"/>
    </row>
    <row r="16" spans="1:22" ht="24.75" customHeight="1">
      <c r="A16" s="294" t="s">
        <v>126</v>
      </c>
      <c r="B16" s="234">
        <v>0</v>
      </c>
      <c r="C16" s="235">
        <f>B16*'BRA CTRs'!$F$5/$B$29</f>
        <v>0</v>
      </c>
      <c r="D16" s="235">
        <v>0</v>
      </c>
      <c r="E16" s="235">
        <v>0</v>
      </c>
      <c r="F16" s="235">
        <v>340.2</v>
      </c>
      <c r="G16" s="235">
        <v>494.5</v>
      </c>
      <c r="H16" s="235">
        <v>0</v>
      </c>
      <c r="I16" s="235">
        <v>0</v>
      </c>
      <c r="J16" s="235">
        <v>0</v>
      </c>
      <c r="K16" s="235">
        <v>0</v>
      </c>
      <c r="L16" s="176"/>
      <c r="M16" s="69"/>
      <c r="N16" s="69"/>
      <c r="O16" s="69"/>
      <c r="P16" s="176"/>
      <c r="Q16" s="34"/>
      <c r="R16" s="23"/>
      <c r="S16" s="23"/>
      <c r="T16" s="23"/>
      <c r="U16" s="23"/>
      <c r="V16" s="23"/>
    </row>
    <row r="17" spans="1:22" ht="24.75" customHeight="1">
      <c r="A17" s="294" t="s">
        <v>97</v>
      </c>
      <c r="B17" s="234">
        <v>0</v>
      </c>
      <c r="C17" s="235">
        <f>B17*'BRA CTRs'!$F$5/$B$29</f>
        <v>0</v>
      </c>
      <c r="D17" s="235">
        <v>0</v>
      </c>
      <c r="E17" s="235">
        <v>0</v>
      </c>
      <c r="F17" s="235">
        <v>90.3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176"/>
      <c r="M17" s="69"/>
      <c r="N17" s="69"/>
      <c r="O17" s="69"/>
      <c r="P17" s="176"/>
      <c r="Q17" s="34"/>
      <c r="R17" s="23"/>
      <c r="S17" s="23"/>
      <c r="T17" s="23"/>
      <c r="U17" s="23"/>
      <c r="V17" s="23"/>
    </row>
    <row r="18" spans="1:22" ht="24.75" customHeight="1">
      <c r="A18" s="294" t="s">
        <v>232</v>
      </c>
      <c r="B18" s="234">
        <v>0</v>
      </c>
      <c r="C18" s="235">
        <f>B18*'BRA CTRs'!$F$5/$B$29</f>
        <v>0</v>
      </c>
      <c r="D18" s="235">
        <v>0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182</v>
      </c>
      <c r="L18" s="176"/>
      <c r="M18" s="69"/>
      <c r="N18" s="69"/>
      <c r="O18" s="69"/>
      <c r="P18" s="176"/>
      <c r="Q18" s="34"/>
      <c r="R18" s="23"/>
      <c r="S18" s="23"/>
      <c r="T18" s="23"/>
      <c r="U18" s="23"/>
      <c r="V18" s="23"/>
    </row>
    <row r="19" spans="1:22" ht="24.75" customHeight="1">
      <c r="A19" s="294" t="s">
        <v>195</v>
      </c>
      <c r="B19" s="234">
        <v>0</v>
      </c>
      <c r="C19" s="235">
        <f>B19*'BRA CTRs'!$F$5/$B$29</f>
        <v>0</v>
      </c>
      <c r="D19" s="235">
        <v>0</v>
      </c>
      <c r="E19" s="235">
        <v>551</v>
      </c>
      <c r="F19" s="235">
        <v>0</v>
      </c>
      <c r="G19" s="235">
        <v>0</v>
      </c>
      <c r="H19" s="235">
        <v>0</v>
      </c>
      <c r="I19" s="235">
        <v>0</v>
      </c>
      <c r="J19" s="235">
        <v>315</v>
      </c>
      <c r="K19" s="235">
        <v>0</v>
      </c>
      <c r="L19" s="176"/>
      <c r="M19" s="69"/>
      <c r="N19" s="69"/>
      <c r="O19" s="69"/>
      <c r="P19" s="176"/>
      <c r="Q19" s="34"/>
      <c r="R19" s="23"/>
      <c r="S19" s="23"/>
      <c r="T19" s="23"/>
      <c r="U19" s="23"/>
      <c r="V19" s="23"/>
    </row>
    <row r="20" spans="1:22" ht="19.5" customHeight="1">
      <c r="A20" s="295" t="s">
        <v>104</v>
      </c>
      <c r="B20" s="236">
        <f aca="true" t="shared" si="1" ref="B20:H20">SUM(B15:B19)</f>
        <v>16</v>
      </c>
      <c r="C20" s="236">
        <f>SUM(C15:C19)</f>
        <v>12.739607465380884</v>
      </c>
      <c r="D20" s="237">
        <f t="shared" si="1"/>
        <v>0</v>
      </c>
      <c r="E20" s="237">
        <f>SUM(E15:E19)</f>
        <v>788</v>
      </c>
      <c r="F20" s="237">
        <f>SUM(F15:F19)</f>
        <v>430.5</v>
      </c>
      <c r="G20" s="237">
        <f>SUM(G15:G19)</f>
        <v>494.5</v>
      </c>
      <c r="H20" s="237">
        <f t="shared" si="1"/>
        <v>0</v>
      </c>
      <c r="I20" s="237">
        <f>SUM(I15:I19)</f>
        <v>0</v>
      </c>
      <c r="J20" s="237">
        <f>SUM(J15:J19)</f>
        <v>315</v>
      </c>
      <c r="K20" s="237">
        <f>SUM(K15:K19)</f>
        <v>306</v>
      </c>
      <c r="L20" s="176"/>
      <c r="M20" s="69"/>
      <c r="N20" s="69"/>
      <c r="O20" s="69"/>
      <c r="P20" s="176"/>
      <c r="Q20" s="34"/>
      <c r="R20" s="23"/>
      <c r="S20" s="23"/>
      <c r="T20" s="23"/>
      <c r="U20" s="23"/>
      <c r="V20" s="23"/>
    </row>
    <row r="21" spans="1:22" ht="19.5" customHeight="1">
      <c r="A21" s="162" t="s">
        <v>80</v>
      </c>
      <c r="B21" s="238"/>
      <c r="C21" s="238"/>
      <c r="D21" s="239"/>
      <c r="E21" s="239"/>
      <c r="F21" s="239"/>
      <c r="G21" s="239"/>
      <c r="H21" s="239"/>
      <c r="I21" s="239"/>
      <c r="J21" s="239"/>
      <c r="K21" s="239"/>
      <c r="L21" s="176"/>
      <c r="M21" s="69"/>
      <c r="N21" s="69"/>
      <c r="O21" s="69"/>
      <c r="P21" s="176"/>
      <c r="Q21" s="34"/>
      <c r="R21" s="23"/>
      <c r="S21" s="23"/>
      <c r="T21" s="23"/>
      <c r="U21" s="23"/>
      <c r="V21" s="23"/>
    </row>
    <row r="22" spans="1:22" ht="24.75" customHeight="1">
      <c r="A22" s="294" t="s">
        <v>98</v>
      </c>
      <c r="B22" s="234">
        <v>159</v>
      </c>
      <c r="C22" s="235">
        <f>B22*'BRA CTRs'!$F$5/$B$29</f>
        <v>126.59984918722252</v>
      </c>
      <c r="D22" s="235">
        <v>0</v>
      </c>
      <c r="E22" s="235">
        <v>0</v>
      </c>
      <c r="F22" s="235">
        <v>0</v>
      </c>
      <c r="G22" s="235">
        <v>0</v>
      </c>
      <c r="H22" s="235">
        <v>0</v>
      </c>
      <c r="I22" s="235">
        <v>0</v>
      </c>
      <c r="J22" s="235">
        <v>0</v>
      </c>
      <c r="K22" s="235">
        <v>0</v>
      </c>
      <c r="L22" s="176"/>
      <c r="M22" s="69"/>
      <c r="N22" s="69"/>
      <c r="O22" s="69"/>
      <c r="P22" s="176"/>
      <c r="Q22" s="34"/>
      <c r="R22" s="23"/>
      <c r="S22" s="23"/>
      <c r="T22" s="23"/>
      <c r="U22" s="23"/>
      <c r="V22" s="23"/>
    </row>
    <row r="23" spans="1:22" ht="24.75" customHeight="1">
      <c r="A23" s="294" t="s">
        <v>233</v>
      </c>
      <c r="B23" s="234">
        <v>0</v>
      </c>
      <c r="C23" s="235">
        <f>B23*'BRA CTRs'!$F$5/$B$29</f>
        <v>0</v>
      </c>
      <c r="D23" s="235">
        <v>0</v>
      </c>
      <c r="E23" s="235">
        <v>0</v>
      </c>
      <c r="F23" s="235">
        <v>0</v>
      </c>
      <c r="G23" s="235">
        <v>0</v>
      </c>
      <c r="H23" s="235">
        <v>37</v>
      </c>
      <c r="I23" s="235">
        <f>H23*'BRA CTRs'!$F$9/$H$29</f>
        <v>0</v>
      </c>
      <c r="J23" s="235">
        <v>0</v>
      </c>
      <c r="K23" s="235">
        <v>0</v>
      </c>
      <c r="L23" s="176"/>
      <c r="M23" s="69"/>
      <c r="N23" s="69"/>
      <c r="O23" s="69"/>
      <c r="P23" s="176"/>
      <c r="Q23" s="34"/>
      <c r="R23" s="23"/>
      <c r="S23" s="23"/>
      <c r="T23" s="23"/>
      <c r="U23" s="23"/>
      <c r="V23" s="23"/>
    </row>
    <row r="24" spans="1:22" ht="24.75" customHeight="1">
      <c r="A24" s="294" t="s">
        <v>234</v>
      </c>
      <c r="B24" s="234">
        <v>0</v>
      </c>
      <c r="C24" s="235">
        <f>B24*'BRA CTRs'!$F$5/$B$29</f>
        <v>0</v>
      </c>
      <c r="D24" s="235">
        <v>0</v>
      </c>
      <c r="E24" s="240">
        <v>0</v>
      </c>
      <c r="F24" s="240">
        <v>0</v>
      </c>
      <c r="G24" s="240">
        <v>0</v>
      </c>
      <c r="H24" s="240">
        <v>35</v>
      </c>
      <c r="I24" s="235">
        <f>H24*'BRA CTRs'!$F$9/$H$29</f>
        <v>0</v>
      </c>
      <c r="J24" s="240">
        <v>0</v>
      </c>
      <c r="K24" s="235">
        <v>0</v>
      </c>
      <c r="L24" s="176"/>
      <c r="M24" s="69"/>
      <c r="N24" s="69"/>
      <c r="O24" s="69"/>
      <c r="P24" s="176"/>
      <c r="Q24" s="34"/>
      <c r="R24" s="23"/>
      <c r="S24" s="23"/>
      <c r="T24" s="23"/>
      <c r="U24" s="23"/>
      <c r="V24" s="23"/>
    </row>
    <row r="25" spans="1:22" ht="19.5" customHeight="1">
      <c r="A25" s="294" t="s">
        <v>235</v>
      </c>
      <c r="B25" s="234">
        <v>733</v>
      </c>
      <c r="C25" s="235">
        <f>B25*'BRA CTRs'!$F$5/$B$29</f>
        <v>583.6332670077617</v>
      </c>
      <c r="D25" s="235">
        <v>0</v>
      </c>
      <c r="E25" s="240">
        <v>0</v>
      </c>
      <c r="F25" s="240">
        <v>0</v>
      </c>
      <c r="G25" s="240">
        <v>0</v>
      </c>
      <c r="H25" s="240">
        <v>0</v>
      </c>
      <c r="I25" s="235">
        <f>H25*'BRA CTRs'!$F$9/$H$29</f>
        <v>0</v>
      </c>
      <c r="J25" s="240">
        <v>0</v>
      </c>
      <c r="K25" s="235">
        <v>0</v>
      </c>
      <c r="L25" s="176"/>
      <c r="M25" s="69"/>
      <c r="N25" s="69"/>
      <c r="O25" s="69"/>
      <c r="P25" s="176"/>
      <c r="Q25" s="34"/>
      <c r="R25" s="23"/>
      <c r="S25" s="23"/>
      <c r="T25" s="23"/>
      <c r="U25" s="23"/>
      <c r="V25" s="23"/>
    </row>
    <row r="26" spans="1:22" ht="19.5" customHeight="1">
      <c r="A26" s="294" t="s">
        <v>231</v>
      </c>
      <c r="B26" s="234">
        <v>0</v>
      </c>
      <c r="C26" s="240">
        <v>0</v>
      </c>
      <c r="D26" s="235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35">
        <v>65.7</v>
      </c>
      <c r="L26" s="176"/>
      <c r="M26" s="69"/>
      <c r="N26" s="69"/>
      <c r="O26" s="69"/>
      <c r="P26" s="176"/>
      <c r="Q26" s="34"/>
      <c r="R26" s="23"/>
      <c r="S26" s="23"/>
      <c r="T26" s="23"/>
      <c r="U26" s="23"/>
      <c r="V26" s="23"/>
    </row>
    <row r="27" spans="1:22" ht="19.5" customHeight="1">
      <c r="A27" s="295" t="s">
        <v>86</v>
      </c>
      <c r="B27" s="236">
        <f aca="true" t="shared" si="2" ref="B27:K27">SUM(B22:B26)</f>
        <v>892</v>
      </c>
      <c r="C27" s="236">
        <f t="shared" si="2"/>
        <v>710.2331161949842</v>
      </c>
      <c r="D27" s="241">
        <f t="shared" si="2"/>
        <v>0</v>
      </c>
      <c r="E27" s="236">
        <f t="shared" si="2"/>
        <v>0</v>
      </c>
      <c r="F27" s="236">
        <f t="shared" si="2"/>
        <v>0</v>
      </c>
      <c r="G27" s="236">
        <f t="shared" si="2"/>
        <v>0</v>
      </c>
      <c r="H27" s="236">
        <f t="shared" si="2"/>
        <v>72</v>
      </c>
      <c r="I27" s="236">
        <f t="shared" si="2"/>
        <v>0</v>
      </c>
      <c r="J27" s="236">
        <f t="shared" si="2"/>
        <v>0</v>
      </c>
      <c r="K27" s="241">
        <f t="shared" si="2"/>
        <v>65.7</v>
      </c>
      <c r="L27" s="176"/>
      <c r="M27" s="69"/>
      <c r="N27" s="69"/>
      <c r="O27" s="69"/>
      <c r="P27" s="176"/>
      <c r="Q27" s="34"/>
      <c r="R27" s="23"/>
      <c r="S27" s="23"/>
      <c r="T27" s="23"/>
      <c r="U27" s="23"/>
      <c r="V27" s="23"/>
    </row>
    <row r="28" spans="1:22" ht="12.75">
      <c r="A28" s="296"/>
      <c r="B28" s="234"/>
      <c r="C28" s="234"/>
      <c r="D28" s="233"/>
      <c r="E28" s="233"/>
      <c r="F28" s="233"/>
      <c r="G28" s="233"/>
      <c r="H28" s="233"/>
      <c r="I28" s="233"/>
      <c r="J28" s="233"/>
      <c r="K28" s="233"/>
      <c r="L28" s="176"/>
      <c r="M28" s="69"/>
      <c r="N28" s="69"/>
      <c r="O28" s="69"/>
      <c r="P28" s="176"/>
      <c r="Q28" s="34"/>
      <c r="R28" s="23"/>
      <c r="S28" s="23"/>
      <c r="T28" s="23"/>
      <c r="U28" s="23"/>
      <c r="V28" s="23"/>
    </row>
    <row r="29" spans="1:22" ht="19.5" customHeight="1" thickBot="1">
      <c r="A29" s="297" t="s">
        <v>87</v>
      </c>
      <c r="B29" s="298">
        <f>B13+B20+B27</f>
        <v>1630</v>
      </c>
      <c r="C29" s="298">
        <f>C13+C20+C27</f>
        <v>1297.8475105356774</v>
      </c>
      <c r="D29" s="242">
        <f aca="true" t="shared" si="3" ref="D29:J29">D13+D20+D27</f>
        <v>898</v>
      </c>
      <c r="E29" s="242">
        <f t="shared" si="3"/>
        <v>1044</v>
      </c>
      <c r="F29" s="242">
        <f t="shared" si="3"/>
        <v>499.4</v>
      </c>
      <c r="G29" s="242">
        <f t="shared" si="3"/>
        <v>600</v>
      </c>
      <c r="H29" s="242">
        <f t="shared" si="3"/>
        <v>72</v>
      </c>
      <c r="I29" s="242">
        <f t="shared" si="3"/>
        <v>0</v>
      </c>
      <c r="J29" s="242">
        <f t="shared" si="3"/>
        <v>315</v>
      </c>
      <c r="K29" s="242">
        <f>K13+K20+K27</f>
        <v>371.7</v>
      </c>
      <c r="L29" s="40"/>
      <c r="M29" s="177"/>
      <c r="N29" s="177"/>
      <c r="O29" s="177"/>
      <c r="P29" s="40"/>
      <c r="Q29" s="34"/>
      <c r="R29" s="23"/>
      <c r="S29" s="23"/>
      <c r="T29" s="23"/>
      <c r="U29" s="23"/>
      <c r="V29" s="23"/>
    </row>
    <row r="30" spans="1:23" s="15" customFormat="1" ht="19.5" customHeight="1">
      <c r="A30" s="645" t="s">
        <v>117</v>
      </c>
      <c r="B30" s="646"/>
      <c r="C30" s="646"/>
      <c r="D30" s="646"/>
      <c r="E30" s="646"/>
      <c r="F30" s="646"/>
      <c r="G30" s="646"/>
      <c r="H30" s="646"/>
      <c r="I30" s="646"/>
      <c r="J30" s="646"/>
      <c r="K30" s="646"/>
      <c r="L30" s="262"/>
      <c r="M30" s="178"/>
      <c r="N30" s="36"/>
      <c r="O30" s="34"/>
      <c r="P30" s="34"/>
      <c r="Q30" s="34"/>
      <c r="R30" s="34"/>
      <c r="S30" s="34"/>
      <c r="T30" s="34"/>
      <c r="U30" s="34"/>
      <c r="V30" s="34"/>
      <c r="W30" s="34"/>
    </row>
    <row r="31" spans="1:23" s="15" customFormat="1" ht="12.75">
      <c r="A31" s="25"/>
      <c r="B31" s="179"/>
      <c r="C31" s="179"/>
      <c r="D31" s="42"/>
      <c r="E31" s="178"/>
      <c r="F31" s="178"/>
      <c r="G31" s="178"/>
      <c r="H31" s="178"/>
      <c r="I31" s="178"/>
      <c r="J31" s="36"/>
      <c r="K31" s="178"/>
      <c r="L31" s="178"/>
      <c r="M31" s="178"/>
      <c r="N31" s="36"/>
      <c r="O31" s="34"/>
      <c r="P31" s="34"/>
      <c r="Q31" s="34"/>
      <c r="R31" s="34"/>
      <c r="S31" s="34"/>
      <c r="T31" s="34"/>
      <c r="U31" s="34"/>
      <c r="V31" s="34"/>
      <c r="W31" s="34"/>
    </row>
    <row r="32" spans="1:23" s="15" customFormat="1" ht="12.75">
      <c r="A32" s="180"/>
      <c r="B32" s="179"/>
      <c r="C32" s="179"/>
      <c r="D32" s="42"/>
      <c r="E32" s="178"/>
      <c r="F32" s="178"/>
      <c r="G32" s="178"/>
      <c r="H32" s="178"/>
      <c r="I32" s="178"/>
      <c r="J32" s="36"/>
      <c r="K32" s="178"/>
      <c r="L32" s="178"/>
      <c r="M32" s="178"/>
      <c r="N32" s="36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31.5">
      <c r="A33" s="247" t="s">
        <v>105</v>
      </c>
      <c r="B33" s="181" t="s">
        <v>24</v>
      </c>
      <c r="C33" s="181" t="s">
        <v>24</v>
      </c>
      <c r="D33" s="73"/>
      <c r="E33" s="178"/>
      <c r="F33" s="178"/>
      <c r="G33" s="178"/>
      <c r="H33" s="178"/>
      <c r="I33" s="309"/>
      <c r="J33" s="301"/>
      <c r="K33" s="301"/>
      <c r="L33" s="302"/>
      <c r="M33" s="178"/>
      <c r="N33" s="36"/>
      <c r="O33" s="23"/>
      <c r="P33" s="23"/>
      <c r="Q33" s="23"/>
      <c r="R33" s="23"/>
      <c r="S33" s="23"/>
      <c r="T33" s="23"/>
      <c r="U33" s="23"/>
      <c r="V33" s="23"/>
      <c r="W33" s="23"/>
    </row>
    <row r="34" spans="1:23" ht="38.25">
      <c r="A34" s="248" t="s">
        <v>62</v>
      </c>
      <c r="B34" s="227" t="s">
        <v>197</v>
      </c>
      <c r="C34" s="311" t="s">
        <v>106</v>
      </c>
      <c r="D34" s="156" t="s">
        <v>107</v>
      </c>
      <c r="E34" s="156" t="s">
        <v>108</v>
      </c>
      <c r="F34" s="311" t="s">
        <v>149</v>
      </c>
      <c r="G34" s="311" t="s">
        <v>196</v>
      </c>
      <c r="H34" s="245" t="s">
        <v>24</v>
      </c>
      <c r="I34" s="304" t="s">
        <v>24</v>
      </c>
      <c r="J34" s="305"/>
      <c r="K34" s="306"/>
      <c r="L34" s="306"/>
      <c r="M34" s="178"/>
      <c r="N34" s="36"/>
      <c r="O34" s="23"/>
      <c r="P34" s="23"/>
      <c r="Q34" s="23"/>
      <c r="R34" s="23"/>
      <c r="S34" s="23"/>
      <c r="T34" s="23"/>
      <c r="U34" s="23"/>
      <c r="V34" s="23"/>
      <c r="W34" s="23"/>
    </row>
    <row r="35" spans="1:23" ht="12.75">
      <c r="A35" s="226" t="s">
        <v>16</v>
      </c>
      <c r="B35" s="157">
        <v>0.0157</v>
      </c>
      <c r="C35" s="157">
        <v>0.0896</v>
      </c>
      <c r="D35" s="157">
        <v>0.0021</v>
      </c>
      <c r="E35" s="157">
        <v>0</v>
      </c>
      <c r="F35" s="157">
        <v>0</v>
      </c>
      <c r="G35" s="157">
        <v>0</v>
      </c>
      <c r="H35" s="246"/>
      <c r="I35" s="7" t="s">
        <v>24</v>
      </c>
      <c r="J35" s="307"/>
      <c r="K35" s="307"/>
      <c r="L35" s="307"/>
      <c r="M35" s="178"/>
      <c r="N35" s="36"/>
      <c r="O35" s="23"/>
      <c r="P35" s="23"/>
      <c r="Q35" s="23"/>
      <c r="R35" s="23"/>
      <c r="S35" s="23"/>
      <c r="T35" s="23"/>
      <c r="U35" s="23"/>
      <c r="V35" s="23"/>
      <c r="W35" s="23"/>
    </row>
    <row r="36" spans="1:23" ht="12.75">
      <c r="A36" s="226" t="s">
        <v>30</v>
      </c>
      <c r="B36" s="157">
        <v>0.1518</v>
      </c>
      <c r="C36" s="157">
        <v>0</v>
      </c>
      <c r="D36" s="157">
        <v>0</v>
      </c>
      <c r="E36" s="157">
        <v>0</v>
      </c>
      <c r="F36" s="157">
        <v>0</v>
      </c>
      <c r="G36" s="157">
        <v>0</v>
      </c>
      <c r="H36" s="246"/>
      <c r="I36" s="7" t="s">
        <v>24</v>
      </c>
      <c r="J36" s="307"/>
      <c r="K36" s="307"/>
      <c r="L36" s="307"/>
      <c r="M36" s="178"/>
      <c r="N36" s="36"/>
      <c r="O36" s="23"/>
      <c r="P36" s="23"/>
      <c r="Q36" s="23"/>
      <c r="R36" s="23"/>
      <c r="S36" s="23"/>
      <c r="T36" s="23"/>
      <c r="U36" s="23"/>
      <c r="V36" s="23"/>
      <c r="W36" s="23"/>
    </row>
    <row r="37" spans="1:23" ht="12.75">
      <c r="A37" s="226" t="s">
        <v>19</v>
      </c>
      <c r="B37" s="157">
        <v>0.0589</v>
      </c>
      <c r="C37" s="157">
        <v>0</v>
      </c>
      <c r="D37" s="157">
        <v>0</v>
      </c>
      <c r="E37" s="157">
        <v>0</v>
      </c>
      <c r="F37" s="157">
        <v>0.0442</v>
      </c>
      <c r="G37" s="157">
        <v>0</v>
      </c>
      <c r="H37" s="246"/>
      <c r="I37" s="7" t="s">
        <v>24</v>
      </c>
      <c r="J37" s="307"/>
      <c r="K37" s="307"/>
      <c r="L37" s="307"/>
      <c r="M37" s="178"/>
      <c r="N37" s="36"/>
      <c r="O37" s="23"/>
      <c r="P37" s="23"/>
      <c r="Q37" s="23"/>
      <c r="R37" s="23"/>
      <c r="S37" s="23"/>
      <c r="T37" s="23"/>
      <c r="U37" s="23"/>
      <c r="V37" s="23"/>
      <c r="W37" s="23"/>
    </row>
    <row r="38" spans="1:23" s="15" customFormat="1" ht="12.75">
      <c r="A38" s="226" t="s">
        <v>45</v>
      </c>
      <c r="B38" s="157">
        <v>0.0759</v>
      </c>
      <c r="C38" s="157">
        <v>0</v>
      </c>
      <c r="D38" s="157">
        <v>0</v>
      </c>
      <c r="E38" s="157">
        <v>0</v>
      </c>
      <c r="F38" s="157">
        <v>0</v>
      </c>
      <c r="G38" s="157">
        <v>0</v>
      </c>
      <c r="H38" s="246"/>
      <c r="I38" s="7" t="s">
        <v>24</v>
      </c>
      <c r="J38" s="307"/>
      <c r="K38" s="307"/>
      <c r="L38" s="307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s="15" customFormat="1" ht="12.75">
      <c r="A39" s="226" t="s">
        <v>11</v>
      </c>
      <c r="B39" s="157">
        <v>0.0412</v>
      </c>
      <c r="C39" s="157">
        <v>0</v>
      </c>
      <c r="D39" s="157">
        <v>0.0088</v>
      </c>
      <c r="E39" s="157">
        <v>0</v>
      </c>
      <c r="F39" s="157">
        <v>0.6695</v>
      </c>
      <c r="G39" s="157">
        <v>0</v>
      </c>
      <c r="H39" s="246"/>
      <c r="I39" s="7" t="s">
        <v>24</v>
      </c>
      <c r="J39" s="307"/>
      <c r="K39" s="307"/>
      <c r="L39" s="307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s="15" customFormat="1" ht="12.75">
      <c r="A40" s="226" t="s">
        <v>20</v>
      </c>
      <c r="B40" s="157">
        <v>0.1238</v>
      </c>
      <c r="C40" s="157">
        <v>0</v>
      </c>
      <c r="D40" s="157">
        <v>0.0211</v>
      </c>
      <c r="E40" s="157">
        <v>0</v>
      </c>
      <c r="F40" s="157">
        <v>0.0412</v>
      </c>
      <c r="G40" s="157">
        <v>0</v>
      </c>
      <c r="H40" s="246"/>
      <c r="I40" s="7"/>
      <c r="J40" s="307"/>
      <c r="K40" s="307"/>
      <c r="L40" s="307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12.75">
      <c r="A41" s="226" t="s">
        <v>21</v>
      </c>
      <c r="B41" s="157">
        <v>0.0202</v>
      </c>
      <c r="C41" s="157">
        <v>0</v>
      </c>
      <c r="D41" s="157">
        <v>0.0012</v>
      </c>
      <c r="E41" s="157">
        <v>0</v>
      </c>
      <c r="F41" s="157">
        <v>0.0049</v>
      </c>
      <c r="G41" s="157">
        <v>0</v>
      </c>
      <c r="H41" s="246" t="s">
        <v>24</v>
      </c>
      <c r="I41" s="7" t="s">
        <v>24</v>
      </c>
      <c r="J41" s="307"/>
      <c r="K41" s="307"/>
      <c r="L41" s="307"/>
      <c r="M41" s="34"/>
      <c r="N41" s="34"/>
      <c r="O41" s="23"/>
      <c r="P41" s="23"/>
      <c r="Q41" s="23"/>
      <c r="R41" s="23"/>
      <c r="S41" s="23"/>
      <c r="T41" s="23"/>
      <c r="U41" s="23"/>
      <c r="V41" s="23"/>
      <c r="W41" s="23"/>
    </row>
    <row r="42" spans="1:23" ht="12.75">
      <c r="A42" s="226" t="s">
        <v>55</v>
      </c>
      <c r="B42" s="157">
        <v>0.0315</v>
      </c>
      <c r="C42" s="157">
        <v>0</v>
      </c>
      <c r="D42" s="157">
        <v>0</v>
      </c>
      <c r="E42" s="157">
        <v>0</v>
      </c>
      <c r="F42" s="157">
        <v>0</v>
      </c>
      <c r="G42" s="157">
        <v>0</v>
      </c>
      <c r="H42" s="246"/>
      <c r="I42" s="7" t="s">
        <v>24</v>
      </c>
      <c r="J42" s="307"/>
      <c r="K42" s="307"/>
      <c r="L42" s="307"/>
      <c r="M42" s="34"/>
      <c r="N42" s="34"/>
      <c r="O42" s="23"/>
      <c r="P42" s="23"/>
      <c r="Q42" s="23"/>
      <c r="R42" s="23"/>
      <c r="S42" s="23"/>
      <c r="T42" s="23"/>
      <c r="U42" s="23"/>
      <c r="V42" s="23"/>
      <c r="W42" s="23"/>
    </row>
    <row r="43" spans="1:23" ht="12.75">
      <c r="A43" s="226" t="s">
        <v>44</v>
      </c>
      <c r="B43" s="157">
        <v>0.0172</v>
      </c>
      <c r="C43" s="157">
        <v>0</v>
      </c>
      <c r="D43" s="157">
        <v>0</v>
      </c>
      <c r="E43" s="157">
        <v>0</v>
      </c>
      <c r="F43" s="157">
        <v>0</v>
      </c>
      <c r="G43" s="157">
        <v>0</v>
      </c>
      <c r="H43" s="246"/>
      <c r="I43" s="7" t="s">
        <v>24</v>
      </c>
      <c r="J43" s="307"/>
      <c r="K43" s="307"/>
      <c r="L43" s="307"/>
      <c r="M43" s="34"/>
      <c r="N43" s="34"/>
      <c r="O43" s="23"/>
      <c r="P43" s="23"/>
      <c r="Q43" s="23"/>
      <c r="R43" s="23"/>
      <c r="S43" s="23"/>
      <c r="T43" s="23"/>
      <c r="U43" s="23"/>
      <c r="V43" s="23"/>
      <c r="W43" s="23"/>
    </row>
    <row r="44" spans="1:23" ht="12.75">
      <c r="A44" s="226" t="s">
        <v>31</v>
      </c>
      <c r="B44" s="157">
        <v>0.133</v>
      </c>
      <c r="C44" s="157">
        <v>0</v>
      </c>
      <c r="D44" s="157">
        <v>0</v>
      </c>
      <c r="E44" s="157">
        <v>0</v>
      </c>
      <c r="F44" s="157">
        <v>0.1876</v>
      </c>
      <c r="G44" s="157">
        <v>0.9711</v>
      </c>
      <c r="H44" s="246"/>
      <c r="I44" s="7" t="s">
        <v>24</v>
      </c>
      <c r="J44" s="307"/>
      <c r="K44" s="307"/>
      <c r="L44" s="307"/>
      <c r="M44" s="34"/>
      <c r="N44" s="34"/>
      <c r="O44" s="23"/>
      <c r="P44" s="23"/>
      <c r="Q44" s="23"/>
      <c r="R44" s="23"/>
      <c r="S44" s="23"/>
      <c r="T44" s="23"/>
      <c r="U44" s="23"/>
      <c r="V44" s="23"/>
      <c r="W44" s="23"/>
    </row>
    <row r="45" spans="1:23" ht="12.75">
      <c r="A45" s="226" t="s">
        <v>17</v>
      </c>
      <c r="B45" s="157">
        <v>0.0253</v>
      </c>
      <c r="C45" s="157">
        <v>0.1677</v>
      </c>
      <c r="D45" s="157">
        <v>0</v>
      </c>
      <c r="E45" s="157">
        <v>0</v>
      </c>
      <c r="F45" s="157">
        <v>0</v>
      </c>
      <c r="G45" s="157">
        <v>0</v>
      </c>
      <c r="H45" s="246"/>
      <c r="I45" s="310" t="s">
        <v>24</v>
      </c>
      <c r="J45" s="307"/>
      <c r="K45" s="307"/>
      <c r="L45" s="307"/>
      <c r="M45" s="34"/>
      <c r="N45" s="34"/>
      <c r="O45" s="23"/>
      <c r="P45" s="23"/>
      <c r="Q45" s="23"/>
      <c r="R45" s="23"/>
      <c r="S45" s="23"/>
      <c r="T45" s="23"/>
      <c r="U45" s="23"/>
      <c r="V45" s="23"/>
      <c r="W45" s="23"/>
    </row>
    <row r="46" spans="1:23" ht="12.75">
      <c r="A46" s="226" t="s">
        <v>131</v>
      </c>
      <c r="B46" s="157">
        <v>0.0214</v>
      </c>
      <c r="C46" s="157">
        <v>0</v>
      </c>
      <c r="D46" s="157">
        <v>0</v>
      </c>
      <c r="E46" s="157">
        <v>0</v>
      </c>
      <c r="F46" s="157">
        <v>0</v>
      </c>
      <c r="G46" s="157">
        <v>0</v>
      </c>
      <c r="H46" s="246"/>
      <c r="I46" s="7"/>
      <c r="J46" s="307"/>
      <c r="K46" s="307"/>
      <c r="L46" s="307"/>
      <c r="M46" s="34"/>
      <c r="N46" s="34"/>
      <c r="O46" s="23"/>
      <c r="P46" s="23"/>
      <c r="Q46" s="23"/>
      <c r="R46" s="23"/>
      <c r="S46" s="23"/>
      <c r="T46" s="23"/>
      <c r="U46" s="23"/>
      <c r="V46" s="23"/>
      <c r="W46" s="23"/>
    </row>
    <row r="47" spans="1:23" ht="12.75">
      <c r="A47" s="226" t="s">
        <v>12</v>
      </c>
      <c r="B47" s="157">
        <v>0.0357</v>
      </c>
      <c r="C47" s="157">
        <v>0.0959</v>
      </c>
      <c r="D47" s="157">
        <v>0.0106</v>
      </c>
      <c r="E47" s="157">
        <v>0.1282</v>
      </c>
      <c r="F47" s="157">
        <v>0</v>
      </c>
      <c r="G47" s="157">
        <v>0</v>
      </c>
      <c r="H47" s="246"/>
      <c r="I47" s="7"/>
      <c r="J47" s="307"/>
      <c r="K47" s="307"/>
      <c r="L47" s="307"/>
      <c r="M47" s="34"/>
      <c r="N47" s="34"/>
      <c r="O47" s="23"/>
      <c r="P47" s="23"/>
      <c r="Q47" s="23"/>
      <c r="R47" s="23"/>
      <c r="S47" s="23"/>
      <c r="T47" s="23"/>
      <c r="U47" s="23"/>
      <c r="V47" s="23"/>
      <c r="W47" s="23"/>
    </row>
    <row r="48" spans="1:23" ht="12.75">
      <c r="A48" s="226" t="s">
        <v>13</v>
      </c>
      <c r="B48" s="157">
        <v>0.0172</v>
      </c>
      <c r="C48" s="157">
        <v>0.0147</v>
      </c>
      <c r="D48" s="157">
        <v>0</v>
      </c>
      <c r="E48" s="157">
        <v>0</v>
      </c>
      <c r="F48" s="157">
        <v>0</v>
      </c>
      <c r="G48" s="157">
        <v>0.0018</v>
      </c>
      <c r="H48" s="246"/>
      <c r="I48" s="7"/>
      <c r="J48" s="307"/>
      <c r="K48" s="307"/>
      <c r="L48" s="307"/>
      <c r="M48" s="34"/>
      <c r="N48" s="34"/>
      <c r="O48" s="23"/>
      <c r="P48" s="23"/>
      <c r="Q48" s="23"/>
      <c r="R48" s="23"/>
      <c r="S48" s="23"/>
      <c r="T48" s="23"/>
      <c r="U48" s="23"/>
      <c r="V48" s="23"/>
      <c r="W48" s="23"/>
    </row>
    <row r="49" spans="1:23" ht="12.75">
      <c r="A49" s="226" t="s">
        <v>9</v>
      </c>
      <c r="B49" s="157">
        <v>0.0497</v>
      </c>
      <c r="C49" s="157">
        <v>0.3064</v>
      </c>
      <c r="D49" s="157">
        <v>0</v>
      </c>
      <c r="E49" s="157">
        <v>0.5108</v>
      </c>
      <c r="F49" s="157">
        <v>0</v>
      </c>
      <c r="G49" s="157">
        <v>0</v>
      </c>
      <c r="H49" s="246"/>
      <c r="I49" s="7"/>
      <c r="J49" s="307"/>
      <c r="K49" s="307"/>
      <c r="L49" s="307"/>
      <c r="M49" s="34"/>
      <c r="N49" s="34"/>
      <c r="O49" s="23"/>
      <c r="P49" s="23"/>
      <c r="Q49" s="23"/>
      <c r="R49" s="23"/>
      <c r="S49" s="23"/>
      <c r="T49" s="23"/>
      <c r="U49" s="23"/>
      <c r="V49" s="23"/>
      <c r="W49" s="23"/>
    </row>
    <row r="50" spans="1:23" ht="12.75">
      <c r="A50" s="226" t="s">
        <v>14</v>
      </c>
      <c r="B50" s="157">
        <v>0.0186</v>
      </c>
      <c r="C50" s="157">
        <v>0</v>
      </c>
      <c r="D50" s="157">
        <v>0.027</v>
      </c>
      <c r="E50" s="157">
        <v>0</v>
      </c>
      <c r="F50" s="157">
        <v>0.0005</v>
      </c>
      <c r="G50" s="157">
        <v>0</v>
      </c>
      <c r="H50" s="246"/>
      <c r="I50" s="7"/>
      <c r="J50" s="307"/>
      <c r="K50" s="307"/>
      <c r="L50" s="307"/>
      <c r="M50" s="34"/>
      <c r="N50" s="34"/>
      <c r="O50" s="23"/>
      <c r="P50" s="23"/>
      <c r="Q50" s="23"/>
      <c r="R50" s="23"/>
      <c r="S50" s="23"/>
      <c r="T50" s="23"/>
      <c r="U50" s="23"/>
      <c r="V50" s="23"/>
      <c r="W50" s="23"/>
    </row>
    <row r="51" spans="1:23" ht="12.75">
      <c r="A51" s="226" t="s">
        <v>15</v>
      </c>
      <c r="B51" s="157">
        <v>0.0385</v>
      </c>
      <c r="C51" s="157">
        <v>0</v>
      </c>
      <c r="D51" s="157">
        <v>0.0095</v>
      </c>
      <c r="E51" s="157">
        <v>0.0057</v>
      </c>
      <c r="F51" s="157">
        <v>0.0521</v>
      </c>
      <c r="G51" s="157">
        <v>0.0271</v>
      </c>
      <c r="H51" s="246"/>
      <c r="I51" s="7"/>
      <c r="J51" s="307"/>
      <c r="K51" s="307"/>
      <c r="L51" s="307"/>
      <c r="M51" s="34"/>
      <c r="N51" s="34"/>
      <c r="O51" s="23"/>
      <c r="P51" s="23"/>
      <c r="Q51" s="23"/>
      <c r="R51" s="23"/>
      <c r="S51" s="23"/>
      <c r="T51" s="23"/>
      <c r="U51" s="23"/>
      <c r="V51" s="23"/>
      <c r="W51" s="23"/>
    </row>
    <row r="52" spans="1:23" ht="12.75">
      <c r="A52" s="226" t="s">
        <v>10</v>
      </c>
      <c r="B52" s="157">
        <v>0.0495</v>
      </c>
      <c r="C52" s="157">
        <v>0.1633</v>
      </c>
      <c r="D52" s="157">
        <v>0</v>
      </c>
      <c r="E52" s="157">
        <v>0</v>
      </c>
      <c r="F52" s="157">
        <v>0</v>
      </c>
      <c r="G52" s="157">
        <v>0</v>
      </c>
      <c r="H52" s="246"/>
      <c r="I52" s="7"/>
      <c r="J52" s="307"/>
      <c r="K52" s="307"/>
      <c r="L52" s="307"/>
      <c r="M52" s="34"/>
      <c r="N52" s="34"/>
      <c r="O52" s="23"/>
      <c r="P52" s="23"/>
      <c r="Q52" s="23"/>
      <c r="R52" s="23"/>
      <c r="S52" s="23"/>
      <c r="T52" s="23"/>
      <c r="U52" s="23"/>
      <c r="V52" s="23"/>
      <c r="W52" s="23"/>
    </row>
    <row r="53" spans="1:23" ht="12.75">
      <c r="A53" s="226" t="s">
        <v>8</v>
      </c>
      <c r="B53" s="157">
        <v>0.0589</v>
      </c>
      <c r="C53" s="157">
        <v>0.14</v>
      </c>
      <c r="D53" s="157">
        <v>0.6381</v>
      </c>
      <c r="E53" s="157">
        <v>0.3146</v>
      </c>
      <c r="F53" s="157">
        <v>0</v>
      </c>
      <c r="G53" s="157">
        <v>0</v>
      </c>
      <c r="H53" s="246"/>
      <c r="I53" s="7"/>
      <c r="J53" s="307"/>
      <c r="K53" s="307"/>
      <c r="L53" s="307"/>
      <c r="M53" s="34"/>
      <c r="N53" s="34"/>
      <c r="O53" s="23"/>
      <c r="P53" s="23"/>
      <c r="Q53" s="23"/>
      <c r="R53" s="23"/>
      <c r="S53" s="23"/>
      <c r="T53" s="23"/>
      <c r="U53" s="23"/>
      <c r="V53" s="23"/>
      <c r="W53" s="23"/>
    </row>
    <row r="54" spans="1:23" ht="12.75">
      <c r="A54" s="226" t="s">
        <v>18</v>
      </c>
      <c r="B54" s="157">
        <v>0.0024</v>
      </c>
      <c r="C54" s="157">
        <v>0.0052</v>
      </c>
      <c r="D54" s="157">
        <v>0.0253</v>
      </c>
      <c r="E54" s="157">
        <v>0.0125</v>
      </c>
      <c r="F54" s="157">
        <v>0</v>
      </c>
      <c r="G54" s="157">
        <v>0</v>
      </c>
      <c r="H54" s="246"/>
      <c r="I54" s="7"/>
      <c r="J54" s="307"/>
      <c r="K54" s="307"/>
      <c r="L54" s="307"/>
      <c r="M54" s="34"/>
      <c r="N54" s="34"/>
      <c r="O54" s="23"/>
      <c r="P54" s="23"/>
      <c r="Q54" s="23"/>
      <c r="R54" s="23"/>
      <c r="S54" s="23"/>
      <c r="T54" s="23"/>
      <c r="U54" s="23"/>
      <c r="V54" s="23"/>
      <c r="W54" s="23"/>
    </row>
    <row r="55" spans="1:23" s="15" customFormat="1" ht="12.75">
      <c r="A55" s="226" t="s">
        <v>118</v>
      </c>
      <c r="B55" s="157">
        <v>0.0055</v>
      </c>
      <c r="C55" s="157">
        <v>0.0049</v>
      </c>
      <c r="D55" s="157">
        <v>0.0905</v>
      </c>
      <c r="E55" s="157">
        <v>0</v>
      </c>
      <c r="F55" s="157">
        <v>0</v>
      </c>
      <c r="G55" s="157">
        <v>0</v>
      </c>
      <c r="H55" s="246"/>
      <c r="I55" s="7"/>
      <c r="J55" s="307"/>
      <c r="K55" s="307"/>
      <c r="L55" s="307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:23" ht="12.75">
      <c r="A56" s="226" t="s">
        <v>119</v>
      </c>
      <c r="B56" s="157">
        <v>0.0041</v>
      </c>
      <c r="C56" s="157">
        <v>0.0094</v>
      </c>
      <c r="D56" s="157">
        <v>0.0006</v>
      </c>
      <c r="E56" s="157">
        <v>0.0118</v>
      </c>
      <c r="F56" s="157">
        <v>0</v>
      </c>
      <c r="G56" s="157">
        <v>0</v>
      </c>
      <c r="H56" s="246"/>
      <c r="I56" s="7"/>
      <c r="J56" s="307"/>
      <c r="K56" s="307"/>
      <c r="L56" s="307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2.75">
      <c r="A57" s="226" t="s">
        <v>101</v>
      </c>
      <c r="B57" s="157">
        <v>0.002</v>
      </c>
      <c r="C57" s="157">
        <v>0.0029</v>
      </c>
      <c r="D57" s="157">
        <v>0.0192</v>
      </c>
      <c r="E57" s="157">
        <v>0.0085</v>
      </c>
      <c r="F57" s="157">
        <v>0</v>
      </c>
      <c r="G57" s="157">
        <v>0</v>
      </c>
      <c r="H57" s="246"/>
      <c r="I57" s="7"/>
      <c r="J57" s="307"/>
      <c r="K57" s="307"/>
      <c r="L57" s="307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ht="12.75">
      <c r="A58" s="226" t="s">
        <v>102</v>
      </c>
      <c r="B58" s="157">
        <v>0.002</v>
      </c>
      <c r="C58" s="157">
        <v>0</v>
      </c>
      <c r="D58" s="157">
        <v>0.146</v>
      </c>
      <c r="E58" s="157">
        <v>0.0079</v>
      </c>
      <c r="F58" s="157">
        <v>0</v>
      </c>
      <c r="G58" s="157">
        <v>0</v>
      </c>
      <c r="H58" s="246"/>
      <c r="I58" s="7"/>
      <c r="J58" s="307"/>
      <c r="K58" s="307"/>
      <c r="L58" s="307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ht="12.75">
      <c r="A59" s="249"/>
      <c r="B59" s="250">
        <f aca="true" t="shared" si="4" ref="B59:G59">SUM(B35:B58)</f>
        <v>0.9999999999999997</v>
      </c>
      <c r="C59" s="250">
        <f t="shared" si="4"/>
        <v>0.9999999999999999</v>
      </c>
      <c r="D59" s="250">
        <f t="shared" si="4"/>
        <v>1</v>
      </c>
      <c r="E59" s="250">
        <f t="shared" si="4"/>
        <v>1</v>
      </c>
      <c r="F59" s="250">
        <f t="shared" si="4"/>
        <v>1</v>
      </c>
      <c r="G59" s="250">
        <f t="shared" si="4"/>
        <v>1</v>
      </c>
      <c r="H59" s="244"/>
      <c r="I59" s="308"/>
      <c r="J59" s="303"/>
      <c r="K59" s="303"/>
      <c r="L59" s="30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3" ht="19.5" customHeight="1">
      <c r="A60" s="663" t="s">
        <v>230</v>
      </c>
      <c r="B60" s="664"/>
      <c r="C60" s="664"/>
      <c r="D60" s="664"/>
      <c r="E60" s="664"/>
      <c r="F60" s="664"/>
      <c r="G60" s="664"/>
      <c r="H60" s="23"/>
      <c r="I60" s="665"/>
      <c r="J60" s="665"/>
      <c r="K60" s="665"/>
      <c r="L60" s="665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3" ht="12.75">
      <c r="A61" s="25"/>
      <c r="B61" s="158"/>
      <c r="C61" s="158"/>
      <c r="D61" s="158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3" ht="13.5" thickBot="1">
      <c r="A62" s="25"/>
      <c r="B62" s="158"/>
      <c r="C62" s="158"/>
      <c r="D62" s="158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23" ht="13.5" thickBot="1">
      <c r="A63" s="657" t="s">
        <v>169</v>
      </c>
      <c r="B63" s="179"/>
      <c r="C63" s="179"/>
      <c r="D63" s="42"/>
      <c r="E63" s="23"/>
      <c r="F63" s="120" t="s">
        <v>24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9" ht="13.5" thickBot="1">
      <c r="A64" s="658"/>
      <c r="B64" s="651" t="s">
        <v>29</v>
      </c>
      <c r="C64" s="652"/>
      <c r="D64" s="652"/>
      <c r="E64" s="653"/>
      <c r="F64" s="666" t="s">
        <v>35</v>
      </c>
      <c r="G64" s="667"/>
      <c r="H64" s="671" t="s">
        <v>5</v>
      </c>
      <c r="I64" s="672"/>
      <c r="J64" s="672"/>
      <c r="K64" s="672"/>
      <c r="L64" s="673"/>
      <c r="M64" s="651" t="s">
        <v>8</v>
      </c>
      <c r="N64" s="652"/>
      <c r="O64" s="652"/>
      <c r="P64" s="652"/>
      <c r="Q64" s="653"/>
      <c r="R64" s="671" t="s">
        <v>36</v>
      </c>
      <c r="S64" s="672"/>
      <c r="T64" s="672"/>
      <c r="U64" s="673"/>
      <c r="V64" s="651" t="s">
        <v>15</v>
      </c>
      <c r="W64" s="653"/>
      <c r="X64" s="651" t="s">
        <v>11</v>
      </c>
      <c r="Y64" s="652"/>
      <c r="Z64" s="652"/>
      <c r="AA64" s="653"/>
      <c r="AB64" s="651" t="s">
        <v>37</v>
      </c>
      <c r="AC64" s="653"/>
    </row>
    <row r="65" spans="1:29" ht="26.25" thickBot="1">
      <c r="A65" s="659"/>
      <c r="B65" s="654" t="s">
        <v>43</v>
      </c>
      <c r="C65" s="655"/>
      <c r="D65" s="656"/>
      <c r="E65" s="159">
        <f>'BRA Resource Clearing Results'!C6</f>
        <v>0</v>
      </c>
      <c r="F65" s="160" t="s">
        <v>43</v>
      </c>
      <c r="G65" s="278">
        <f>'BRA Resource Clearing Results'!C7</f>
        <v>19.77</v>
      </c>
      <c r="H65" s="674" t="s">
        <v>43</v>
      </c>
      <c r="I65" s="675"/>
      <c r="J65" s="675"/>
      <c r="K65" s="675"/>
      <c r="L65" s="279">
        <f>'BRA Resource Clearing Results'!C8</f>
        <v>0</v>
      </c>
      <c r="M65" s="668" t="s">
        <v>43</v>
      </c>
      <c r="N65" s="669"/>
      <c r="O65" s="669"/>
      <c r="P65" s="670"/>
      <c r="Q65" s="276">
        <f>'BRA Resource Clearing Results'!C9</f>
        <v>0</v>
      </c>
      <c r="R65" s="676" t="s">
        <v>43</v>
      </c>
      <c r="S65" s="677"/>
      <c r="T65" s="677"/>
      <c r="U65" s="279">
        <f>'BRA Resource Clearing Results'!C10</f>
        <v>0</v>
      </c>
      <c r="V65" s="281" t="s">
        <v>43</v>
      </c>
      <c r="W65" s="282">
        <f>'BRA Resource Clearing Results'!C12</f>
        <v>0</v>
      </c>
      <c r="X65" s="660" t="s">
        <v>43</v>
      </c>
      <c r="Y65" s="661"/>
      <c r="Z65" s="662"/>
      <c r="AA65" s="253">
        <f>'BRA Resource Clearing Results'!C16</f>
        <v>0.3</v>
      </c>
      <c r="AB65" s="284" t="s">
        <v>43</v>
      </c>
      <c r="AC65" s="282">
        <f>'BRA Resource Clearing Results'!C11</f>
        <v>0</v>
      </c>
    </row>
    <row r="66" spans="1:29" ht="64.5" thickBot="1">
      <c r="A66" s="161" t="s">
        <v>62</v>
      </c>
      <c r="B66" s="162" t="s">
        <v>109</v>
      </c>
      <c r="C66" s="156" t="s">
        <v>110</v>
      </c>
      <c r="D66" s="163" t="s">
        <v>63</v>
      </c>
      <c r="E66" s="164" t="s">
        <v>77</v>
      </c>
      <c r="F66" s="162" t="s">
        <v>109</v>
      </c>
      <c r="G66" s="164" t="s">
        <v>77</v>
      </c>
      <c r="H66" s="272" t="s">
        <v>109</v>
      </c>
      <c r="I66" s="251" t="s">
        <v>110</v>
      </c>
      <c r="J66" s="251" t="s">
        <v>198</v>
      </c>
      <c r="K66" s="277" t="s">
        <v>63</v>
      </c>
      <c r="L66" s="269" t="s">
        <v>77</v>
      </c>
      <c r="M66" s="162" t="s">
        <v>109</v>
      </c>
      <c r="N66" s="156" t="s">
        <v>111</v>
      </c>
      <c r="O66" s="156" t="s">
        <v>112</v>
      </c>
      <c r="P66" s="163" t="s">
        <v>63</v>
      </c>
      <c r="Q66" s="164" t="s">
        <v>77</v>
      </c>
      <c r="R66" s="272" t="s">
        <v>109</v>
      </c>
      <c r="S66" s="251" t="s">
        <v>111</v>
      </c>
      <c r="T66" s="277" t="s">
        <v>63</v>
      </c>
      <c r="U66" s="280" t="s">
        <v>77</v>
      </c>
      <c r="V66" s="258" t="s">
        <v>198</v>
      </c>
      <c r="W66" s="164" t="s">
        <v>77</v>
      </c>
      <c r="X66" s="251" t="s">
        <v>110</v>
      </c>
      <c r="Y66" s="283" t="s">
        <v>150</v>
      </c>
      <c r="Z66" s="277" t="s">
        <v>63</v>
      </c>
      <c r="AA66" s="252" t="s">
        <v>77</v>
      </c>
      <c r="AB66" s="647" t="s">
        <v>141</v>
      </c>
      <c r="AC66" s="648"/>
    </row>
    <row r="67" spans="1:29" ht="12.75">
      <c r="A67" s="51" t="s">
        <v>16</v>
      </c>
      <c r="B67" s="139">
        <f>B35*$C$13</f>
        <v>9.025534153942402</v>
      </c>
      <c r="C67" s="165">
        <f>C35*$C$15</f>
        <v>1.1414688288981272</v>
      </c>
      <c r="D67" s="165">
        <f>B67+C67</f>
        <v>10.167002982840529</v>
      </c>
      <c r="E67" s="55">
        <f>D67*$E$65</f>
        <v>0</v>
      </c>
      <c r="F67" s="139">
        <f>B35*$D$13</f>
        <v>14.0986</v>
      </c>
      <c r="G67" s="142">
        <f>F67*$G$65</f>
        <v>278.72932199999997</v>
      </c>
      <c r="H67" s="139">
        <f>B35*$E$13</f>
        <v>4.0192</v>
      </c>
      <c r="I67" s="165">
        <f>C35*$E$15</f>
        <v>21.2352</v>
      </c>
      <c r="J67" s="274">
        <f>G35*$E$19</f>
        <v>0</v>
      </c>
      <c r="K67" s="165">
        <f>H67+I67+J67</f>
        <v>25.254399999999997</v>
      </c>
      <c r="L67" s="270">
        <f>K67*$L$65</f>
        <v>0</v>
      </c>
      <c r="M67" s="139">
        <f>B35*$F$13</f>
        <v>1.08173</v>
      </c>
      <c r="N67" s="165">
        <f>D35*$F$16</f>
        <v>0.7144199999999999</v>
      </c>
      <c r="O67" s="165">
        <f aca="true" t="shared" si="5" ref="O67:O90">E35*$F$17</f>
        <v>0</v>
      </c>
      <c r="P67" s="165">
        <f>M67+N67+O67</f>
        <v>1.79615</v>
      </c>
      <c r="Q67" s="55">
        <f>P67*$Q$65</f>
        <v>0</v>
      </c>
      <c r="R67" s="139">
        <f aca="true" t="shared" si="6" ref="R67:R90">B35*$G$13</f>
        <v>1.6563499999999998</v>
      </c>
      <c r="S67" s="165">
        <f aca="true" t="shared" si="7" ref="S67:S90">D35*$G$16</f>
        <v>1.0384499999999999</v>
      </c>
      <c r="T67" s="165">
        <f aca="true" t="shared" si="8" ref="T67:T72">R67+S67</f>
        <v>2.6948</v>
      </c>
      <c r="U67" s="254">
        <f aca="true" t="shared" si="9" ref="U67:U90">T67*$U$65</f>
        <v>0</v>
      </c>
      <c r="V67" s="139">
        <f>G35*$J$19</f>
        <v>0</v>
      </c>
      <c r="W67" s="142">
        <f aca="true" t="shared" si="10" ref="W67:W90">V67*$W$65</f>
        <v>0</v>
      </c>
      <c r="X67" s="165">
        <f>C35*$K$15</f>
        <v>11.1104</v>
      </c>
      <c r="Y67" s="256">
        <f>F35*$K$18</f>
        <v>0</v>
      </c>
      <c r="Z67" s="273">
        <f aca="true" t="shared" si="11" ref="Z67:Z72">X67+Y67</f>
        <v>11.1104</v>
      </c>
      <c r="AA67" s="142">
        <f>Z67*$AA$65</f>
        <v>3.33312</v>
      </c>
      <c r="AB67" s="4"/>
      <c r="AC67" s="4"/>
    </row>
    <row r="68" spans="1:29" ht="12.75">
      <c r="A68" s="51" t="s">
        <v>30</v>
      </c>
      <c r="B68" s="139">
        <f aca="true" t="shared" si="12" ref="B68:B90">B36*$C$13</f>
        <v>87.2659926476724</v>
      </c>
      <c r="C68" s="165">
        <f aca="true" t="shared" si="13" ref="C68:C90">C36*$C$15</f>
        <v>0</v>
      </c>
      <c r="D68" s="165">
        <f>B68+C68</f>
        <v>87.2659926476724</v>
      </c>
      <c r="E68" s="55">
        <f>D68*$E$65</f>
        <v>0</v>
      </c>
      <c r="F68" s="139">
        <f aca="true" t="shared" si="14" ref="F68:F75">B36*$D$13</f>
        <v>136.3164</v>
      </c>
      <c r="G68" s="142">
        <f>F68*$G$65</f>
        <v>2694.975228</v>
      </c>
      <c r="H68" s="139">
        <f aca="true" t="shared" si="15" ref="H68:H90">B36*$E$13</f>
        <v>38.8608</v>
      </c>
      <c r="I68" s="165">
        <f aca="true" t="shared" si="16" ref="I68:I90">C36*$E$15</f>
        <v>0</v>
      </c>
      <c r="J68" s="274">
        <f aca="true" t="shared" si="17" ref="J68:J90">G36*$E$19</f>
        <v>0</v>
      </c>
      <c r="K68" s="165">
        <f aca="true" t="shared" si="18" ref="K68:K90">H68+I68+J68</f>
        <v>38.8608</v>
      </c>
      <c r="L68" s="270">
        <f>K68*$L$65</f>
        <v>0</v>
      </c>
      <c r="M68" s="139">
        <f aca="true" t="shared" si="19" ref="M68:M90">B36*$F$13</f>
        <v>10.45902</v>
      </c>
      <c r="N68" s="165">
        <f aca="true" t="shared" si="20" ref="N68:N90">D36*$F$16</f>
        <v>0</v>
      </c>
      <c r="O68" s="165">
        <f t="shared" si="5"/>
        <v>0</v>
      </c>
      <c r="P68" s="165">
        <f>M68+N68+O68</f>
        <v>10.45902</v>
      </c>
      <c r="Q68" s="55">
        <f aca="true" t="shared" si="21" ref="Q68:Q90">P68*$Q$65</f>
        <v>0</v>
      </c>
      <c r="R68" s="139">
        <f t="shared" si="6"/>
        <v>16.014899999999997</v>
      </c>
      <c r="S68" s="165">
        <f t="shared" si="7"/>
        <v>0</v>
      </c>
      <c r="T68" s="165">
        <f t="shared" si="8"/>
        <v>16.014899999999997</v>
      </c>
      <c r="U68" s="254">
        <f t="shared" si="9"/>
        <v>0</v>
      </c>
      <c r="V68" s="139">
        <f aca="true" t="shared" si="22" ref="V68:V90">G36*$J$19</f>
        <v>0</v>
      </c>
      <c r="W68" s="142">
        <f t="shared" si="10"/>
        <v>0</v>
      </c>
      <c r="X68" s="165">
        <f aca="true" t="shared" si="23" ref="X68:X90">C36*$K$15</f>
        <v>0</v>
      </c>
      <c r="Y68" s="256">
        <f aca="true" t="shared" si="24" ref="Y68:Y90">F36*$K$18</f>
        <v>0</v>
      </c>
      <c r="Z68" s="273">
        <f t="shared" si="11"/>
        <v>0</v>
      </c>
      <c r="AA68" s="142">
        <f aca="true" t="shared" si="25" ref="AA68:AA90">Z68*$AA$65</f>
        <v>0</v>
      </c>
      <c r="AB68" s="4"/>
      <c r="AC68" s="4"/>
    </row>
    <row r="69" spans="1:29" ht="12.75">
      <c r="A69" s="51" t="s">
        <v>19</v>
      </c>
      <c r="B69" s="139">
        <f t="shared" si="12"/>
        <v>33.8601249469559</v>
      </c>
      <c r="C69" s="165">
        <f t="shared" si="13"/>
        <v>0</v>
      </c>
      <c r="D69" s="165">
        <f>B69+C69</f>
        <v>33.8601249469559</v>
      </c>
      <c r="E69" s="55">
        <f aca="true" t="shared" si="26" ref="E69:E89">D69*$E$65</f>
        <v>0</v>
      </c>
      <c r="F69" s="139">
        <f t="shared" si="14"/>
        <v>52.8922</v>
      </c>
      <c r="G69" s="142">
        <f>F69*$G$65</f>
        <v>1045.678794</v>
      </c>
      <c r="H69" s="139">
        <f t="shared" si="15"/>
        <v>15.0784</v>
      </c>
      <c r="I69" s="165">
        <f t="shared" si="16"/>
        <v>0</v>
      </c>
      <c r="J69" s="274">
        <f t="shared" si="17"/>
        <v>0</v>
      </c>
      <c r="K69" s="165">
        <f t="shared" si="18"/>
        <v>15.0784</v>
      </c>
      <c r="L69" s="270">
        <f>K69*$L$65</f>
        <v>0</v>
      </c>
      <c r="M69" s="139">
        <f t="shared" si="19"/>
        <v>4.058210000000001</v>
      </c>
      <c r="N69" s="165">
        <f t="shared" si="20"/>
        <v>0</v>
      </c>
      <c r="O69" s="165">
        <f t="shared" si="5"/>
        <v>0</v>
      </c>
      <c r="P69" s="165">
        <f>M69+N69+O69</f>
        <v>4.058210000000001</v>
      </c>
      <c r="Q69" s="55">
        <f t="shared" si="21"/>
        <v>0</v>
      </c>
      <c r="R69" s="139">
        <f t="shared" si="6"/>
        <v>6.2139500000000005</v>
      </c>
      <c r="S69" s="165">
        <f t="shared" si="7"/>
        <v>0</v>
      </c>
      <c r="T69" s="165">
        <f t="shared" si="8"/>
        <v>6.2139500000000005</v>
      </c>
      <c r="U69" s="254">
        <f t="shared" si="9"/>
        <v>0</v>
      </c>
      <c r="V69" s="139">
        <f t="shared" si="22"/>
        <v>0</v>
      </c>
      <c r="W69" s="142">
        <f t="shared" si="10"/>
        <v>0</v>
      </c>
      <c r="X69" s="165">
        <f t="shared" si="23"/>
        <v>0</v>
      </c>
      <c r="Y69" s="256">
        <f t="shared" si="24"/>
        <v>8.044400000000001</v>
      </c>
      <c r="Z69" s="273">
        <f t="shared" si="11"/>
        <v>8.044400000000001</v>
      </c>
      <c r="AA69" s="142">
        <f t="shared" si="25"/>
        <v>2.41332</v>
      </c>
      <c r="AB69" s="4"/>
      <c r="AC69" s="4"/>
    </row>
    <row r="70" spans="1:29" ht="12.75">
      <c r="A70" s="51" t="s">
        <v>45</v>
      </c>
      <c r="B70" s="139">
        <f t="shared" si="12"/>
        <v>43.6329963238362</v>
      </c>
      <c r="C70" s="165">
        <f t="shared" si="13"/>
        <v>0</v>
      </c>
      <c r="D70" s="165">
        <f aca="true" t="shared" si="27" ref="D70:D89">B70+C70</f>
        <v>43.6329963238362</v>
      </c>
      <c r="E70" s="55">
        <f t="shared" si="26"/>
        <v>0</v>
      </c>
      <c r="F70" s="139">
        <f t="shared" si="14"/>
        <v>68.1582</v>
      </c>
      <c r="G70" s="142">
        <f aca="true" t="shared" si="28" ref="G70:G90">F70*$G$65</f>
        <v>1347.487614</v>
      </c>
      <c r="H70" s="139">
        <f t="shared" si="15"/>
        <v>19.4304</v>
      </c>
      <c r="I70" s="165">
        <f t="shared" si="16"/>
        <v>0</v>
      </c>
      <c r="J70" s="274">
        <f t="shared" si="17"/>
        <v>0</v>
      </c>
      <c r="K70" s="165">
        <f t="shared" si="18"/>
        <v>19.4304</v>
      </c>
      <c r="L70" s="270">
        <f>K70*$L$65</f>
        <v>0</v>
      </c>
      <c r="M70" s="139">
        <f t="shared" si="19"/>
        <v>5.22951</v>
      </c>
      <c r="N70" s="165">
        <f t="shared" si="20"/>
        <v>0</v>
      </c>
      <c r="O70" s="165">
        <f t="shared" si="5"/>
        <v>0</v>
      </c>
      <c r="P70" s="165">
        <f aca="true" t="shared" si="29" ref="P70:P85">M70+N70+O70</f>
        <v>5.22951</v>
      </c>
      <c r="Q70" s="55">
        <f t="shared" si="21"/>
        <v>0</v>
      </c>
      <c r="R70" s="139">
        <f t="shared" si="6"/>
        <v>8.007449999999999</v>
      </c>
      <c r="S70" s="165">
        <f t="shared" si="7"/>
        <v>0</v>
      </c>
      <c r="T70" s="165">
        <f t="shared" si="8"/>
        <v>8.007449999999999</v>
      </c>
      <c r="U70" s="254">
        <f t="shared" si="9"/>
        <v>0</v>
      </c>
      <c r="V70" s="139">
        <f t="shared" si="22"/>
        <v>0</v>
      </c>
      <c r="W70" s="142">
        <f t="shared" si="10"/>
        <v>0</v>
      </c>
      <c r="X70" s="165">
        <f t="shared" si="23"/>
        <v>0</v>
      </c>
      <c r="Y70" s="256">
        <f t="shared" si="24"/>
        <v>0</v>
      </c>
      <c r="Z70" s="273">
        <f t="shared" si="11"/>
        <v>0</v>
      </c>
      <c r="AA70" s="142">
        <f t="shared" si="25"/>
        <v>0</v>
      </c>
      <c r="AB70" s="4"/>
      <c r="AC70" s="4"/>
    </row>
    <row r="71" spans="1:29" ht="12.75">
      <c r="A71" s="51" t="s">
        <v>11</v>
      </c>
      <c r="B71" s="139">
        <f t="shared" si="12"/>
        <v>23.684841219262868</v>
      </c>
      <c r="C71" s="165">
        <f t="shared" si="13"/>
        <v>0</v>
      </c>
      <c r="D71" s="165">
        <f t="shared" si="27"/>
        <v>23.684841219262868</v>
      </c>
      <c r="E71" s="55">
        <f t="shared" si="26"/>
        <v>0</v>
      </c>
      <c r="F71" s="139">
        <f t="shared" si="14"/>
        <v>36.9976</v>
      </c>
      <c r="G71" s="142">
        <f t="shared" si="28"/>
        <v>731.442552</v>
      </c>
      <c r="H71" s="139">
        <f t="shared" si="15"/>
        <v>10.5472</v>
      </c>
      <c r="I71" s="165">
        <f t="shared" si="16"/>
        <v>0</v>
      </c>
      <c r="J71" s="274">
        <f t="shared" si="17"/>
        <v>0</v>
      </c>
      <c r="K71" s="165">
        <f t="shared" si="18"/>
        <v>10.5472</v>
      </c>
      <c r="L71" s="270">
        <f aca="true" t="shared" si="30" ref="L71:L85">K71*$L$65</f>
        <v>0</v>
      </c>
      <c r="M71" s="139">
        <f t="shared" si="19"/>
        <v>2.83868</v>
      </c>
      <c r="N71" s="165">
        <f t="shared" si="20"/>
        <v>2.99376</v>
      </c>
      <c r="O71" s="165">
        <f t="shared" si="5"/>
        <v>0</v>
      </c>
      <c r="P71" s="165">
        <f t="shared" si="29"/>
        <v>5.83244</v>
      </c>
      <c r="Q71" s="55">
        <f t="shared" si="21"/>
        <v>0</v>
      </c>
      <c r="R71" s="139">
        <f t="shared" si="6"/>
        <v>4.3466000000000005</v>
      </c>
      <c r="S71" s="165">
        <f t="shared" si="7"/>
        <v>4.3516</v>
      </c>
      <c r="T71" s="165">
        <f t="shared" si="8"/>
        <v>8.6982</v>
      </c>
      <c r="U71" s="254">
        <f t="shared" si="9"/>
        <v>0</v>
      </c>
      <c r="V71" s="139">
        <f t="shared" si="22"/>
        <v>0</v>
      </c>
      <c r="W71" s="142">
        <f t="shared" si="10"/>
        <v>0</v>
      </c>
      <c r="X71" s="165">
        <f t="shared" si="23"/>
        <v>0</v>
      </c>
      <c r="Y71" s="256">
        <f t="shared" si="24"/>
        <v>121.849</v>
      </c>
      <c r="Z71" s="273">
        <f t="shared" si="11"/>
        <v>121.849</v>
      </c>
      <c r="AA71" s="142">
        <f t="shared" si="25"/>
        <v>36.5547</v>
      </c>
      <c r="AB71" s="4"/>
      <c r="AC71" s="4"/>
    </row>
    <row r="72" spans="1:29" ht="12.75">
      <c r="A72" s="51" t="s">
        <v>20</v>
      </c>
      <c r="B72" s="139">
        <f t="shared" si="12"/>
        <v>71.16949861516366</v>
      </c>
      <c r="C72" s="165">
        <f t="shared" si="13"/>
        <v>0</v>
      </c>
      <c r="D72" s="165">
        <f t="shared" si="27"/>
        <v>71.16949861516366</v>
      </c>
      <c r="E72" s="55">
        <f t="shared" si="26"/>
        <v>0</v>
      </c>
      <c r="F72" s="139">
        <f t="shared" si="14"/>
        <v>111.1724</v>
      </c>
      <c r="G72" s="142">
        <f t="shared" si="28"/>
        <v>2197.8783479999997</v>
      </c>
      <c r="H72" s="139">
        <f t="shared" si="15"/>
        <v>31.6928</v>
      </c>
      <c r="I72" s="165">
        <f t="shared" si="16"/>
        <v>0</v>
      </c>
      <c r="J72" s="274">
        <f t="shared" si="17"/>
        <v>0</v>
      </c>
      <c r="K72" s="165">
        <f t="shared" si="18"/>
        <v>31.6928</v>
      </c>
      <c r="L72" s="270">
        <f t="shared" si="30"/>
        <v>0</v>
      </c>
      <c r="M72" s="139">
        <f t="shared" si="19"/>
        <v>8.52982</v>
      </c>
      <c r="N72" s="165">
        <f t="shared" si="20"/>
        <v>7.17822</v>
      </c>
      <c r="O72" s="165">
        <f t="shared" si="5"/>
        <v>0</v>
      </c>
      <c r="P72" s="165">
        <f t="shared" si="29"/>
        <v>15.70804</v>
      </c>
      <c r="Q72" s="55">
        <f t="shared" si="21"/>
        <v>0</v>
      </c>
      <c r="R72" s="139">
        <f t="shared" si="6"/>
        <v>13.0609</v>
      </c>
      <c r="S72" s="165">
        <f t="shared" si="7"/>
        <v>10.433950000000001</v>
      </c>
      <c r="T72" s="165">
        <f t="shared" si="8"/>
        <v>23.49485</v>
      </c>
      <c r="U72" s="254">
        <f t="shared" si="9"/>
        <v>0</v>
      </c>
      <c r="V72" s="139">
        <f t="shared" si="22"/>
        <v>0</v>
      </c>
      <c r="W72" s="142">
        <f t="shared" si="10"/>
        <v>0</v>
      </c>
      <c r="X72" s="165">
        <f t="shared" si="23"/>
        <v>0</v>
      </c>
      <c r="Y72" s="256">
        <f t="shared" si="24"/>
        <v>7.4984</v>
      </c>
      <c r="Z72" s="273">
        <f t="shared" si="11"/>
        <v>7.4984</v>
      </c>
      <c r="AA72" s="142">
        <f t="shared" si="25"/>
        <v>2.24952</v>
      </c>
      <c r="AB72" s="4"/>
      <c r="AC72" s="4"/>
    </row>
    <row r="73" spans="1:29" ht="12.75">
      <c r="A73" s="51" t="s">
        <v>21</v>
      </c>
      <c r="B73" s="139">
        <f t="shared" si="12"/>
        <v>11.612470694881308</v>
      </c>
      <c r="C73" s="165">
        <f t="shared" si="13"/>
        <v>0</v>
      </c>
      <c r="D73" s="165">
        <f t="shared" si="27"/>
        <v>11.612470694881308</v>
      </c>
      <c r="E73" s="55">
        <f t="shared" si="26"/>
        <v>0</v>
      </c>
      <c r="F73" s="139">
        <f t="shared" si="14"/>
        <v>18.139599999999998</v>
      </c>
      <c r="G73" s="142">
        <f t="shared" si="28"/>
        <v>358.61989199999994</v>
      </c>
      <c r="H73" s="139">
        <f t="shared" si="15"/>
        <v>5.1712</v>
      </c>
      <c r="I73" s="165">
        <f t="shared" si="16"/>
        <v>0</v>
      </c>
      <c r="J73" s="274">
        <f t="shared" si="17"/>
        <v>0</v>
      </c>
      <c r="K73" s="165">
        <f t="shared" si="18"/>
        <v>5.1712</v>
      </c>
      <c r="L73" s="270">
        <f t="shared" si="30"/>
        <v>0</v>
      </c>
      <c r="M73" s="139">
        <f t="shared" si="19"/>
        <v>1.39178</v>
      </c>
      <c r="N73" s="165">
        <f t="shared" si="20"/>
        <v>0.40823999999999994</v>
      </c>
      <c r="O73" s="165">
        <f t="shared" si="5"/>
        <v>0</v>
      </c>
      <c r="P73" s="165">
        <f t="shared" si="29"/>
        <v>1.80002</v>
      </c>
      <c r="Q73" s="55">
        <f t="shared" si="21"/>
        <v>0</v>
      </c>
      <c r="R73" s="139">
        <f t="shared" si="6"/>
        <v>2.1311</v>
      </c>
      <c r="S73" s="165">
        <f t="shared" si="7"/>
        <v>0.5933999999999999</v>
      </c>
      <c r="T73" s="165">
        <f aca="true" t="shared" si="31" ref="T73:T89">R73+S73</f>
        <v>2.7245</v>
      </c>
      <c r="U73" s="254">
        <f t="shared" si="9"/>
        <v>0</v>
      </c>
      <c r="V73" s="139">
        <f t="shared" si="22"/>
        <v>0</v>
      </c>
      <c r="W73" s="142">
        <f t="shared" si="10"/>
        <v>0</v>
      </c>
      <c r="X73" s="165">
        <f t="shared" si="23"/>
        <v>0</v>
      </c>
      <c r="Y73" s="256">
        <f t="shared" si="24"/>
        <v>0.8917999999999999</v>
      </c>
      <c r="Z73" s="273">
        <f aca="true" t="shared" si="32" ref="Z73:Z90">X73+Y73</f>
        <v>0.8917999999999999</v>
      </c>
      <c r="AA73" s="142">
        <f t="shared" si="25"/>
        <v>0.26753999999999994</v>
      </c>
      <c r="AB73" s="4"/>
      <c r="AC73" s="4"/>
    </row>
    <row r="74" spans="1:29" ht="12.75">
      <c r="A74" s="51" t="s">
        <v>55</v>
      </c>
      <c r="B74" s="139">
        <f t="shared" si="12"/>
        <v>18.10855578657234</v>
      </c>
      <c r="C74" s="165">
        <f t="shared" si="13"/>
        <v>0</v>
      </c>
      <c r="D74" s="165">
        <f t="shared" si="27"/>
        <v>18.10855578657234</v>
      </c>
      <c r="E74" s="55">
        <f t="shared" si="26"/>
        <v>0</v>
      </c>
      <c r="F74" s="139">
        <f t="shared" si="14"/>
        <v>28.287</v>
      </c>
      <c r="G74" s="142">
        <f t="shared" si="28"/>
        <v>559.23399</v>
      </c>
      <c r="H74" s="139">
        <f t="shared" si="15"/>
        <v>8.064</v>
      </c>
      <c r="I74" s="165">
        <f t="shared" si="16"/>
        <v>0</v>
      </c>
      <c r="J74" s="274">
        <f t="shared" si="17"/>
        <v>0</v>
      </c>
      <c r="K74" s="165">
        <f t="shared" si="18"/>
        <v>8.064</v>
      </c>
      <c r="L74" s="270">
        <f t="shared" si="30"/>
        <v>0</v>
      </c>
      <c r="M74" s="139">
        <f t="shared" si="19"/>
        <v>2.17035</v>
      </c>
      <c r="N74" s="165">
        <f t="shared" si="20"/>
        <v>0</v>
      </c>
      <c r="O74" s="165">
        <f t="shared" si="5"/>
        <v>0</v>
      </c>
      <c r="P74" s="165">
        <f t="shared" si="29"/>
        <v>2.17035</v>
      </c>
      <c r="Q74" s="55">
        <f t="shared" si="21"/>
        <v>0</v>
      </c>
      <c r="R74" s="139">
        <f t="shared" si="6"/>
        <v>3.32325</v>
      </c>
      <c r="S74" s="165">
        <f t="shared" si="7"/>
        <v>0</v>
      </c>
      <c r="T74" s="165">
        <f t="shared" si="31"/>
        <v>3.32325</v>
      </c>
      <c r="U74" s="254">
        <f t="shared" si="9"/>
        <v>0</v>
      </c>
      <c r="V74" s="139">
        <f t="shared" si="22"/>
        <v>0</v>
      </c>
      <c r="W74" s="142">
        <f t="shared" si="10"/>
        <v>0</v>
      </c>
      <c r="X74" s="165">
        <f t="shared" si="23"/>
        <v>0</v>
      </c>
      <c r="Y74" s="256">
        <f t="shared" si="24"/>
        <v>0</v>
      </c>
      <c r="Z74" s="273">
        <f t="shared" si="32"/>
        <v>0</v>
      </c>
      <c r="AA74" s="142">
        <f t="shared" si="25"/>
        <v>0</v>
      </c>
      <c r="AB74" s="4"/>
      <c r="AC74" s="4"/>
    </row>
    <row r="75" spans="1:29" ht="12.75">
      <c r="A75" s="51" t="s">
        <v>44</v>
      </c>
      <c r="B75" s="139">
        <f t="shared" si="12"/>
        <v>9.887846334255372</v>
      </c>
      <c r="C75" s="165">
        <f t="shared" si="13"/>
        <v>0</v>
      </c>
      <c r="D75" s="165">
        <f t="shared" si="27"/>
        <v>9.887846334255372</v>
      </c>
      <c r="E75" s="55">
        <f t="shared" si="26"/>
        <v>0</v>
      </c>
      <c r="F75" s="139">
        <f t="shared" si="14"/>
        <v>15.4456</v>
      </c>
      <c r="G75" s="142">
        <f t="shared" si="28"/>
        <v>305.359512</v>
      </c>
      <c r="H75" s="139">
        <f t="shared" si="15"/>
        <v>4.4032</v>
      </c>
      <c r="I75" s="165">
        <f t="shared" si="16"/>
        <v>0</v>
      </c>
      <c r="J75" s="274">
        <f t="shared" si="17"/>
        <v>0</v>
      </c>
      <c r="K75" s="165">
        <f t="shared" si="18"/>
        <v>4.4032</v>
      </c>
      <c r="L75" s="270">
        <f t="shared" si="30"/>
        <v>0</v>
      </c>
      <c r="M75" s="139">
        <f t="shared" si="19"/>
        <v>1.1850800000000001</v>
      </c>
      <c r="N75" s="165">
        <f t="shared" si="20"/>
        <v>0</v>
      </c>
      <c r="O75" s="165">
        <f t="shared" si="5"/>
        <v>0</v>
      </c>
      <c r="P75" s="165">
        <f t="shared" si="29"/>
        <v>1.1850800000000001</v>
      </c>
      <c r="Q75" s="55">
        <f t="shared" si="21"/>
        <v>0</v>
      </c>
      <c r="R75" s="139">
        <f t="shared" si="6"/>
        <v>1.8146</v>
      </c>
      <c r="S75" s="165">
        <f t="shared" si="7"/>
        <v>0</v>
      </c>
      <c r="T75" s="165">
        <f t="shared" si="31"/>
        <v>1.8146</v>
      </c>
      <c r="U75" s="254">
        <f t="shared" si="9"/>
        <v>0</v>
      </c>
      <c r="V75" s="139">
        <f t="shared" si="22"/>
        <v>0</v>
      </c>
      <c r="W75" s="142">
        <f t="shared" si="10"/>
        <v>0</v>
      </c>
      <c r="X75" s="165">
        <f t="shared" si="23"/>
        <v>0</v>
      </c>
      <c r="Y75" s="256">
        <f t="shared" si="24"/>
        <v>0</v>
      </c>
      <c r="Z75" s="273">
        <f t="shared" si="32"/>
        <v>0</v>
      </c>
      <c r="AA75" s="142">
        <f t="shared" si="25"/>
        <v>0</v>
      </c>
      <c r="AB75" s="4"/>
      <c r="AC75" s="4"/>
    </row>
    <row r="76" spans="1:29" ht="12.75">
      <c r="A76" s="51" t="s">
        <v>31</v>
      </c>
      <c r="B76" s="139">
        <f t="shared" si="12"/>
        <v>76.45834665441654</v>
      </c>
      <c r="C76" s="165">
        <f t="shared" si="13"/>
        <v>0</v>
      </c>
      <c r="D76" s="165">
        <f t="shared" si="27"/>
        <v>76.45834665441654</v>
      </c>
      <c r="E76" s="55">
        <f t="shared" si="26"/>
        <v>0</v>
      </c>
      <c r="F76" s="139">
        <f aca="true" t="shared" si="33" ref="F76:F90">B44*$D$13</f>
        <v>119.43400000000001</v>
      </c>
      <c r="G76" s="142">
        <f t="shared" si="28"/>
        <v>2361.21018</v>
      </c>
      <c r="H76" s="139">
        <f t="shared" si="15"/>
        <v>34.048</v>
      </c>
      <c r="I76" s="165">
        <f t="shared" si="16"/>
        <v>0</v>
      </c>
      <c r="J76" s="274">
        <f t="shared" si="17"/>
        <v>535.0761</v>
      </c>
      <c r="K76" s="165">
        <f t="shared" si="18"/>
        <v>569.1241</v>
      </c>
      <c r="L76" s="270">
        <f t="shared" si="30"/>
        <v>0</v>
      </c>
      <c r="M76" s="139">
        <f t="shared" si="19"/>
        <v>9.1637</v>
      </c>
      <c r="N76" s="165">
        <f t="shared" si="20"/>
        <v>0</v>
      </c>
      <c r="O76" s="165">
        <f t="shared" si="5"/>
        <v>0</v>
      </c>
      <c r="P76" s="165">
        <f t="shared" si="29"/>
        <v>9.1637</v>
      </c>
      <c r="Q76" s="55">
        <f t="shared" si="21"/>
        <v>0</v>
      </c>
      <c r="R76" s="139">
        <f t="shared" si="6"/>
        <v>14.031500000000001</v>
      </c>
      <c r="S76" s="165">
        <f t="shared" si="7"/>
        <v>0</v>
      </c>
      <c r="T76" s="165">
        <f t="shared" si="31"/>
        <v>14.031500000000001</v>
      </c>
      <c r="U76" s="254">
        <f t="shared" si="9"/>
        <v>0</v>
      </c>
      <c r="V76" s="139">
        <f t="shared" si="22"/>
        <v>305.8965</v>
      </c>
      <c r="W76" s="142">
        <f t="shared" si="10"/>
        <v>0</v>
      </c>
      <c r="X76" s="165">
        <f t="shared" si="23"/>
        <v>0</v>
      </c>
      <c r="Y76" s="256">
        <f t="shared" si="24"/>
        <v>34.1432</v>
      </c>
      <c r="Z76" s="273">
        <f t="shared" si="32"/>
        <v>34.1432</v>
      </c>
      <c r="AA76" s="142">
        <f t="shared" si="25"/>
        <v>10.24296</v>
      </c>
      <c r="AB76" s="4"/>
      <c r="AC76" s="4"/>
    </row>
    <row r="77" spans="1:29" ht="12.75">
      <c r="A77" s="51" t="s">
        <v>17</v>
      </c>
      <c r="B77" s="139">
        <f t="shared" si="12"/>
        <v>14.544332107945403</v>
      </c>
      <c r="C77" s="165">
        <f t="shared" si="13"/>
        <v>2.136432171944374</v>
      </c>
      <c r="D77" s="165">
        <f t="shared" si="27"/>
        <v>16.680764279889775</v>
      </c>
      <c r="E77" s="55">
        <f t="shared" si="26"/>
        <v>0</v>
      </c>
      <c r="F77" s="139">
        <f t="shared" si="33"/>
        <v>22.7194</v>
      </c>
      <c r="G77" s="142">
        <f t="shared" si="28"/>
        <v>449.162538</v>
      </c>
      <c r="H77" s="139">
        <f t="shared" si="15"/>
        <v>6.4768</v>
      </c>
      <c r="I77" s="165">
        <f t="shared" si="16"/>
        <v>39.744899999999994</v>
      </c>
      <c r="J77" s="274">
        <f t="shared" si="17"/>
        <v>0</v>
      </c>
      <c r="K77" s="165">
        <f t="shared" si="18"/>
        <v>46.22169999999999</v>
      </c>
      <c r="L77" s="270">
        <f t="shared" si="30"/>
        <v>0</v>
      </c>
      <c r="M77" s="139">
        <f t="shared" si="19"/>
        <v>1.74317</v>
      </c>
      <c r="N77" s="165">
        <f t="shared" si="20"/>
        <v>0</v>
      </c>
      <c r="O77" s="165">
        <f t="shared" si="5"/>
        <v>0</v>
      </c>
      <c r="P77" s="165">
        <f t="shared" si="29"/>
        <v>1.74317</v>
      </c>
      <c r="Q77" s="55">
        <f t="shared" si="21"/>
        <v>0</v>
      </c>
      <c r="R77" s="139">
        <f t="shared" si="6"/>
        <v>2.66915</v>
      </c>
      <c r="S77" s="165">
        <f t="shared" si="7"/>
        <v>0</v>
      </c>
      <c r="T77" s="165">
        <f t="shared" si="31"/>
        <v>2.66915</v>
      </c>
      <c r="U77" s="254">
        <f t="shared" si="9"/>
        <v>0</v>
      </c>
      <c r="V77" s="139">
        <f t="shared" si="22"/>
        <v>0</v>
      </c>
      <c r="W77" s="142">
        <f t="shared" si="10"/>
        <v>0</v>
      </c>
      <c r="X77" s="165">
        <f t="shared" si="23"/>
        <v>20.7948</v>
      </c>
      <c r="Y77" s="256">
        <f t="shared" si="24"/>
        <v>0</v>
      </c>
      <c r="Z77" s="273">
        <f t="shared" si="32"/>
        <v>20.7948</v>
      </c>
      <c r="AA77" s="142">
        <f t="shared" si="25"/>
        <v>6.23844</v>
      </c>
      <c r="AB77" s="4"/>
      <c r="AC77" s="4"/>
    </row>
    <row r="78" spans="1:29" ht="12.75">
      <c r="A78" s="51" t="s">
        <v>131</v>
      </c>
      <c r="B78" s="139">
        <f t="shared" si="12"/>
        <v>12.302320439131684</v>
      </c>
      <c r="C78" s="165">
        <f t="shared" si="13"/>
        <v>0</v>
      </c>
      <c r="D78" s="165">
        <f>B78+C78</f>
        <v>12.302320439131684</v>
      </c>
      <c r="E78" s="55">
        <f>D78*$E$65</f>
        <v>0</v>
      </c>
      <c r="F78" s="139">
        <f t="shared" si="33"/>
        <v>19.2172</v>
      </c>
      <c r="G78" s="142">
        <f>F78*$G$65</f>
        <v>379.924044</v>
      </c>
      <c r="H78" s="139">
        <f t="shared" si="15"/>
        <v>5.4784</v>
      </c>
      <c r="I78" s="165">
        <f t="shared" si="16"/>
        <v>0</v>
      </c>
      <c r="J78" s="274">
        <f t="shared" si="17"/>
        <v>0</v>
      </c>
      <c r="K78" s="165">
        <f t="shared" si="18"/>
        <v>5.4784</v>
      </c>
      <c r="L78" s="270">
        <f t="shared" si="30"/>
        <v>0</v>
      </c>
      <c r="M78" s="139">
        <f t="shared" si="19"/>
        <v>1.47446</v>
      </c>
      <c r="N78" s="165">
        <f t="shared" si="20"/>
        <v>0</v>
      </c>
      <c r="O78" s="165">
        <f t="shared" si="5"/>
        <v>0</v>
      </c>
      <c r="P78" s="165">
        <f>M78+N78+O78</f>
        <v>1.47446</v>
      </c>
      <c r="Q78" s="55">
        <f t="shared" si="21"/>
        <v>0</v>
      </c>
      <c r="R78" s="139">
        <f t="shared" si="6"/>
        <v>2.2577</v>
      </c>
      <c r="S78" s="165">
        <f t="shared" si="7"/>
        <v>0</v>
      </c>
      <c r="T78" s="165">
        <f>R78+S78</f>
        <v>2.2577</v>
      </c>
      <c r="U78" s="254">
        <f t="shared" si="9"/>
        <v>0</v>
      </c>
      <c r="V78" s="139">
        <f t="shared" si="22"/>
        <v>0</v>
      </c>
      <c r="W78" s="142">
        <f t="shared" si="10"/>
        <v>0</v>
      </c>
      <c r="X78" s="165">
        <f t="shared" si="23"/>
        <v>0</v>
      </c>
      <c r="Y78" s="256">
        <f t="shared" si="24"/>
        <v>0</v>
      </c>
      <c r="Z78" s="273">
        <f t="shared" si="32"/>
        <v>0</v>
      </c>
      <c r="AA78" s="142">
        <f t="shared" si="25"/>
        <v>0</v>
      </c>
      <c r="AB78" s="4"/>
      <c r="AC78" s="4"/>
    </row>
    <row r="79" spans="1:29" ht="12.75">
      <c r="A79" s="51" t="s">
        <v>12</v>
      </c>
      <c r="B79" s="139">
        <f t="shared" si="12"/>
        <v>20.52302989144865</v>
      </c>
      <c r="C79" s="165">
        <f t="shared" si="13"/>
        <v>1.2217283559300267</v>
      </c>
      <c r="D79" s="165">
        <f t="shared" si="27"/>
        <v>21.744758247378677</v>
      </c>
      <c r="E79" s="55">
        <f t="shared" si="26"/>
        <v>0</v>
      </c>
      <c r="F79" s="139">
        <f t="shared" si="33"/>
        <v>32.058600000000006</v>
      </c>
      <c r="G79" s="142">
        <f>F79*$G$65</f>
        <v>633.798522</v>
      </c>
      <c r="H79" s="139">
        <f t="shared" si="15"/>
        <v>9.1392</v>
      </c>
      <c r="I79" s="165">
        <f t="shared" si="16"/>
        <v>22.7283</v>
      </c>
      <c r="J79" s="274">
        <f t="shared" si="17"/>
        <v>0</v>
      </c>
      <c r="K79" s="165">
        <f t="shared" si="18"/>
        <v>31.8675</v>
      </c>
      <c r="L79" s="270">
        <f t="shared" si="30"/>
        <v>0</v>
      </c>
      <c r="M79" s="139">
        <f t="shared" si="19"/>
        <v>2.4597300000000004</v>
      </c>
      <c r="N79" s="165">
        <f t="shared" si="20"/>
        <v>3.6061199999999998</v>
      </c>
      <c r="O79" s="165">
        <f t="shared" si="5"/>
        <v>11.57646</v>
      </c>
      <c r="P79" s="165">
        <f t="shared" si="29"/>
        <v>17.642310000000002</v>
      </c>
      <c r="Q79" s="55">
        <f t="shared" si="21"/>
        <v>0</v>
      </c>
      <c r="R79" s="139">
        <f t="shared" si="6"/>
        <v>3.76635</v>
      </c>
      <c r="S79" s="165">
        <f t="shared" si="7"/>
        <v>5.2417</v>
      </c>
      <c r="T79" s="165">
        <f t="shared" si="31"/>
        <v>9.00805</v>
      </c>
      <c r="U79" s="254">
        <f t="shared" si="9"/>
        <v>0</v>
      </c>
      <c r="V79" s="139">
        <f t="shared" si="22"/>
        <v>0</v>
      </c>
      <c r="W79" s="142">
        <f t="shared" si="10"/>
        <v>0</v>
      </c>
      <c r="X79" s="165">
        <f t="shared" si="23"/>
        <v>11.8916</v>
      </c>
      <c r="Y79" s="256">
        <f t="shared" si="24"/>
        <v>0</v>
      </c>
      <c r="Z79" s="273">
        <f t="shared" si="32"/>
        <v>11.8916</v>
      </c>
      <c r="AA79" s="142">
        <f t="shared" si="25"/>
        <v>3.56748</v>
      </c>
      <c r="AB79" s="4"/>
      <c r="AC79" s="4"/>
    </row>
    <row r="80" spans="1:29" ht="12.75">
      <c r="A80" s="51" t="s">
        <v>13</v>
      </c>
      <c r="B80" s="139">
        <f t="shared" si="12"/>
        <v>9.887846334255372</v>
      </c>
      <c r="C80" s="165">
        <f t="shared" si="13"/>
        <v>0.18727222974109897</v>
      </c>
      <c r="D80" s="165">
        <f t="shared" si="27"/>
        <v>10.07511856399647</v>
      </c>
      <c r="E80" s="55">
        <f t="shared" si="26"/>
        <v>0</v>
      </c>
      <c r="F80" s="139">
        <f t="shared" si="33"/>
        <v>15.4456</v>
      </c>
      <c r="G80" s="142">
        <f t="shared" si="28"/>
        <v>305.359512</v>
      </c>
      <c r="H80" s="139">
        <f t="shared" si="15"/>
        <v>4.4032</v>
      </c>
      <c r="I80" s="165">
        <f t="shared" si="16"/>
        <v>3.4838999999999998</v>
      </c>
      <c r="J80" s="274">
        <f t="shared" si="17"/>
        <v>0.9918</v>
      </c>
      <c r="K80" s="165">
        <f t="shared" si="18"/>
        <v>8.8789</v>
      </c>
      <c r="L80" s="270">
        <f t="shared" si="30"/>
        <v>0</v>
      </c>
      <c r="M80" s="139">
        <f t="shared" si="19"/>
        <v>1.1850800000000001</v>
      </c>
      <c r="N80" s="165">
        <f t="shared" si="20"/>
        <v>0</v>
      </c>
      <c r="O80" s="165">
        <f t="shared" si="5"/>
        <v>0</v>
      </c>
      <c r="P80" s="165">
        <f t="shared" si="29"/>
        <v>1.1850800000000001</v>
      </c>
      <c r="Q80" s="55">
        <f t="shared" si="21"/>
        <v>0</v>
      </c>
      <c r="R80" s="139">
        <f t="shared" si="6"/>
        <v>1.8146</v>
      </c>
      <c r="S80" s="165">
        <f t="shared" si="7"/>
        <v>0</v>
      </c>
      <c r="T80" s="165">
        <f t="shared" si="31"/>
        <v>1.8146</v>
      </c>
      <c r="U80" s="254">
        <f t="shared" si="9"/>
        <v>0</v>
      </c>
      <c r="V80" s="139">
        <f t="shared" si="22"/>
        <v>0.567</v>
      </c>
      <c r="W80" s="142">
        <f t="shared" si="10"/>
        <v>0</v>
      </c>
      <c r="X80" s="165">
        <f t="shared" si="23"/>
        <v>1.8228</v>
      </c>
      <c r="Y80" s="256">
        <f t="shared" si="24"/>
        <v>0</v>
      </c>
      <c r="Z80" s="273">
        <f t="shared" si="32"/>
        <v>1.8228</v>
      </c>
      <c r="AA80" s="142">
        <f t="shared" si="25"/>
        <v>0.54684</v>
      </c>
      <c r="AB80" s="4"/>
      <c r="AC80" s="4"/>
    </row>
    <row r="81" spans="1:29" ht="12.75">
      <c r="A81" s="51" t="s">
        <v>9</v>
      </c>
      <c r="B81" s="139">
        <f t="shared" si="12"/>
        <v>28.571276907703023</v>
      </c>
      <c r="C81" s="165">
        <f t="shared" si="13"/>
        <v>3.903415727392703</v>
      </c>
      <c r="D81" s="165">
        <f t="shared" si="27"/>
        <v>32.47469263509573</v>
      </c>
      <c r="E81" s="55">
        <f t="shared" si="26"/>
        <v>0</v>
      </c>
      <c r="F81" s="139">
        <f t="shared" si="33"/>
        <v>44.6306</v>
      </c>
      <c r="G81" s="142">
        <f t="shared" si="28"/>
        <v>882.346962</v>
      </c>
      <c r="H81" s="139">
        <f t="shared" si="15"/>
        <v>12.7232</v>
      </c>
      <c r="I81" s="165">
        <f t="shared" si="16"/>
        <v>72.6168</v>
      </c>
      <c r="J81" s="274">
        <f t="shared" si="17"/>
        <v>0</v>
      </c>
      <c r="K81" s="165">
        <f t="shared" si="18"/>
        <v>85.34</v>
      </c>
      <c r="L81" s="270">
        <f t="shared" si="30"/>
        <v>0</v>
      </c>
      <c r="M81" s="139">
        <f t="shared" si="19"/>
        <v>3.4243300000000003</v>
      </c>
      <c r="N81" s="165">
        <f t="shared" si="20"/>
        <v>0</v>
      </c>
      <c r="O81" s="165">
        <f t="shared" si="5"/>
        <v>46.12524</v>
      </c>
      <c r="P81" s="165">
        <f t="shared" si="29"/>
        <v>49.549569999999996</v>
      </c>
      <c r="Q81" s="55">
        <f t="shared" si="21"/>
        <v>0</v>
      </c>
      <c r="R81" s="139">
        <f t="shared" si="6"/>
        <v>5.24335</v>
      </c>
      <c r="S81" s="165">
        <f t="shared" si="7"/>
        <v>0</v>
      </c>
      <c r="T81" s="165">
        <f t="shared" si="31"/>
        <v>5.24335</v>
      </c>
      <c r="U81" s="254">
        <f t="shared" si="9"/>
        <v>0</v>
      </c>
      <c r="V81" s="139">
        <f t="shared" si="22"/>
        <v>0</v>
      </c>
      <c r="W81" s="142">
        <f t="shared" si="10"/>
        <v>0</v>
      </c>
      <c r="X81" s="165">
        <f t="shared" si="23"/>
        <v>37.9936</v>
      </c>
      <c r="Y81" s="256">
        <f t="shared" si="24"/>
        <v>0</v>
      </c>
      <c r="Z81" s="273">
        <f t="shared" si="32"/>
        <v>37.9936</v>
      </c>
      <c r="AA81" s="142">
        <f t="shared" si="25"/>
        <v>11.39808</v>
      </c>
      <c r="AB81" s="4"/>
      <c r="AC81" s="4"/>
    </row>
    <row r="82" spans="1:29" ht="12.75">
      <c r="A82" s="51" t="s">
        <v>14</v>
      </c>
      <c r="B82" s="139">
        <f t="shared" si="12"/>
        <v>10.692671035880808</v>
      </c>
      <c r="C82" s="165">
        <f t="shared" si="13"/>
        <v>0</v>
      </c>
      <c r="D82" s="165">
        <f t="shared" si="27"/>
        <v>10.692671035880808</v>
      </c>
      <c r="E82" s="55">
        <f t="shared" si="26"/>
        <v>0</v>
      </c>
      <c r="F82" s="139">
        <f t="shared" si="33"/>
        <v>16.7028</v>
      </c>
      <c r="G82" s="142">
        <f t="shared" si="28"/>
        <v>330.214356</v>
      </c>
      <c r="H82" s="139">
        <f t="shared" si="15"/>
        <v>4.7616</v>
      </c>
      <c r="I82" s="165">
        <f t="shared" si="16"/>
        <v>0</v>
      </c>
      <c r="J82" s="274">
        <f t="shared" si="17"/>
        <v>0</v>
      </c>
      <c r="K82" s="165">
        <f t="shared" si="18"/>
        <v>4.7616</v>
      </c>
      <c r="L82" s="270">
        <f t="shared" si="30"/>
        <v>0</v>
      </c>
      <c r="M82" s="139">
        <f t="shared" si="19"/>
        <v>1.28154</v>
      </c>
      <c r="N82" s="165">
        <f t="shared" si="20"/>
        <v>9.1854</v>
      </c>
      <c r="O82" s="165">
        <f t="shared" si="5"/>
        <v>0</v>
      </c>
      <c r="P82" s="165">
        <f t="shared" si="29"/>
        <v>10.46694</v>
      </c>
      <c r="Q82" s="55">
        <f t="shared" si="21"/>
        <v>0</v>
      </c>
      <c r="R82" s="139">
        <f t="shared" si="6"/>
        <v>1.9623</v>
      </c>
      <c r="S82" s="165">
        <f t="shared" si="7"/>
        <v>13.3515</v>
      </c>
      <c r="T82" s="165">
        <f t="shared" si="31"/>
        <v>15.3138</v>
      </c>
      <c r="U82" s="254">
        <f t="shared" si="9"/>
        <v>0</v>
      </c>
      <c r="V82" s="139">
        <f t="shared" si="22"/>
        <v>0</v>
      </c>
      <c r="W82" s="142">
        <f t="shared" si="10"/>
        <v>0</v>
      </c>
      <c r="X82" s="165">
        <f t="shared" si="23"/>
        <v>0</v>
      </c>
      <c r="Y82" s="256">
        <f t="shared" si="24"/>
        <v>0.091</v>
      </c>
      <c r="Z82" s="273">
        <f t="shared" si="32"/>
        <v>0.091</v>
      </c>
      <c r="AA82" s="142">
        <f t="shared" si="25"/>
        <v>0.027299999999999998</v>
      </c>
      <c r="AB82" s="4"/>
      <c r="AC82" s="4"/>
    </row>
    <row r="83" spans="1:29" ht="12.75">
      <c r="A83" s="51" t="s">
        <v>15</v>
      </c>
      <c r="B83" s="139">
        <f t="shared" si="12"/>
        <v>22.132679294699525</v>
      </c>
      <c r="C83" s="165">
        <f t="shared" si="13"/>
        <v>0</v>
      </c>
      <c r="D83" s="165">
        <f t="shared" si="27"/>
        <v>22.132679294699525</v>
      </c>
      <c r="E83" s="55">
        <f t="shared" si="26"/>
        <v>0</v>
      </c>
      <c r="F83" s="139">
        <f t="shared" si="33"/>
        <v>34.573</v>
      </c>
      <c r="G83" s="142">
        <f t="shared" si="28"/>
        <v>683.50821</v>
      </c>
      <c r="H83" s="139">
        <f t="shared" si="15"/>
        <v>9.856</v>
      </c>
      <c r="I83" s="165">
        <f t="shared" si="16"/>
        <v>0</v>
      </c>
      <c r="J83" s="274">
        <f t="shared" si="17"/>
        <v>14.9321</v>
      </c>
      <c r="K83" s="165">
        <f t="shared" si="18"/>
        <v>24.7881</v>
      </c>
      <c r="L83" s="270">
        <f t="shared" si="30"/>
        <v>0</v>
      </c>
      <c r="M83" s="139">
        <f t="shared" si="19"/>
        <v>2.6526500000000004</v>
      </c>
      <c r="N83" s="165">
        <f t="shared" si="20"/>
        <v>3.2319</v>
      </c>
      <c r="O83" s="165">
        <f t="shared" si="5"/>
        <v>0.51471</v>
      </c>
      <c r="P83" s="165">
        <f t="shared" si="29"/>
        <v>6.399260000000001</v>
      </c>
      <c r="Q83" s="55">
        <f t="shared" si="21"/>
        <v>0</v>
      </c>
      <c r="R83" s="139">
        <f t="shared" si="6"/>
        <v>4.06175</v>
      </c>
      <c r="S83" s="165">
        <f t="shared" si="7"/>
        <v>4.69775</v>
      </c>
      <c r="T83" s="165">
        <f t="shared" si="31"/>
        <v>8.7595</v>
      </c>
      <c r="U83" s="254">
        <f t="shared" si="9"/>
        <v>0</v>
      </c>
      <c r="V83" s="139">
        <f t="shared" si="22"/>
        <v>8.5365</v>
      </c>
      <c r="W83" s="142">
        <f t="shared" si="10"/>
        <v>0</v>
      </c>
      <c r="X83" s="165">
        <f t="shared" si="23"/>
        <v>0</v>
      </c>
      <c r="Y83" s="256">
        <f t="shared" si="24"/>
        <v>9.4822</v>
      </c>
      <c r="Z83" s="273">
        <f t="shared" si="32"/>
        <v>9.4822</v>
      </c>
      <c r="AA83" s="142">
        <f t="shared" si="25"/>
        <v>2.84466</v>
      </c>
      <c r="AB83" s="4"/>
      <c r="AC83" s="4"/>
    </row>
    <row r="84" spans="1:29" ht="12.75">
      <c r="A84" s="51" t="s">
        <v>10</v>
      </c>
      <c r="B84" s="139">
        <f t="shared" si="12"/>
        <v>28.456301950327962</v>
      </c>
      <c r="C84" s="165">
        <f t="shared" si="13"/>
        <v>2.0803778990966983</v>
      </c>
      <c r="D84" s="165">
        <f t="shared" si="27"/>
        <v>30.53667984942466</v>
      </c>
      <c r="E84" s="55">
        <f t="shared" si="26"/>
        <v>0</v>
      </c>
      <c r="F84" s="139">
        <f t="shared" si="33"/>
        <v>44.451</v>
      </c>
      <c r="G84" s="142">
        <f t="shared" si="28"/>
        <v>878.7962699999999</v>
      </c>
      <c r="H84" s="139">
        <f t="shared" si="15"/>
        <v>12.672</v>
      </c>
      <c r="I84" s="165">
        <f t="shared" si="16"/>
        <v>38.7021</v>
      </c>
      <c r="J84" s="274">
        <f t="shared" si="17"/>
        <v>0</v>
      </c>
      <c r="K84" s="165">
        <f t="shared" si="18"/>
        <v>51.3741</v>
      </c>
      <c r="L84" s="270">
        <f t="shared" si="30"/>
        <v>0</v>
      </c>
      <c r="M84" s="139">
        <f t="shared" si="19"/>
        <v>3.4105500000000006</v>
      </c>
      <c r="N84" s="165">
        <f t="shared" si="20"/>
        <v>0</v>
      </c>
      <c r="O84" s="165">
        <f t="shared" si="5"/>
        <v>0</v>
      </c>
      <c r="P84" s="165">
        <f t="shared" si="29"/>
        <v>3.4105500000000006</v>
      </c>
      <c r="Q84" s="55">
        <f t="shared" si="21"/>
        <v>0</v>
      </c>
      <c r="R84" s="139">
        <f t="shared" si="6"/>
        <v>5.22225</v>
      </c>
      <c r="S84" s="165">
        <f t="shared" si="7"/>
        <v>0</v>
      </c>
      <c r="T84" s="165">
        <f t="shared" si="31"/>
        <v>5.22225</v>
      </c>
      <c r="U84" s="254">
        <f t="shared" si="9"/>
        <v>0</v>
      </c>
      <c r="V84" s="139">
        <f t="shared" si="22"/>
        <v>0</v>
      </c>
      <c r="W84" s="142">
        <f t="shared" si="10"/>
        <v>0</v>
      </c>
      <c r="X84" s="165">
        <f t="shared" si="23"/>
        <v>20.249200000000002</v>
      </c>
      <c r="Y84" s="256">
        <f t="shared" si="24"/>
        <v>0</v>
      </c>
      <c r="Z84" s="273">
        <f t="shared" si="32"/>
        <v>20.249200000000002</v>
      </c>
      <c r="AA84" s="142">
        <f t="shared" si="25"/>
        <v>6.07476</v>
      </c>
      <c r="AB84" s="4"/>
      <c r="AC84" s="4"/>
    </row>
    <row r="85" spans="1:29" ht="12.75">
      <c r="A85" s="51" t="s">
        <v>8</v>
      </c>
      <c r="B85" s="139">
        <f t="shared" si="12"/>
        <v>33.8601249469559</v>
      </c>
      <c r="C85" s="165">
        <f t="shared" si="13"/>
        <v>1.783545045153324</v>
      </c>
      <c r="D85" s="165">
        <f t="shared" si="27"/>
        <v>35.643669992109224</v>
      </c>
      <c r="E85" s="55">
        <f t="shared" si="26"/>
        <v>0</v>
      </c>
      <c r="F85" s="139">
        <f t="shared" si="33"/>
        <v>52.8922</v>
      </c>
      <c r="G85" s="142">
        <f t="shared" si="28"/>
        <v>1045.678794</v>
      </c>
      <c r="H85" s="139">
        <f t="shared" si="15"/>
        <v>15.0784</v>
      </c>
      <c r="I85" s="165">
        <f t="shared" si="16"/>
        <v>33.18</v>
      </c>
      <c r="J85" s="274">
        <f t="shared" si="17"/>
        <v>0</v>
      </c>
      <c r="K85" s="165">
        <f t="shared" si="18"/>
        <v>48.2584</v>
      </c>
      <c r="L85" s="270">
        <f t="shared" si="30"/>
        <v>0</v>
      </c>
      <c r="M85" s="139">
        <f t="shared" si="19"/>
        <v>4.058210000000001</v>
      </c>
      <c r="N85" s="165">
        <f t="shared" si="20"/>
        <v>217.08162</v>
      </c>
      <c r="O85" s="165">
        <f t="shared" si="5"/>
        <v>28.408379999999998</v>
      </c>
      <c r="P85" s="165">
        <f t="shared" si="29"/>
        <v>249.54820999999998</v>
      </c>
      <c r="Q85" s="55">
        <f t="shared" si="21"/>
        <v>0</v>
      </c>
      <c r="R85" s="139">
        <f t="shared" si="6"/>
        <v>6.2139500000000005</v>
      </c>
      <c r="S85" s="165">
        <f t="shared" si="7"/>
        <v>315.54045</v>
      </c>
      <c r="T85" s="165">
        <f t="shared" si="31"/>
        <v>321.75440000000003</v>
      </c>
      <c r="U85" s="254">
        <f t="shared" si="9"/>
        <v>0</v>
      </c>
      <c r="V85" s="139">
        <f t="shared" si="22"/>
        <v>0</v>
      </c>
      <c r="W85" s="142">
        <f t="shared" si="10"/>
        <v>0</v>
      </c>
      <c r="X85" s="165">
        <f t="shared" si="23"/>
        <v>17.360000000000003</v>
      </c>
      <c r="Y85" s="256">
        <f t="shared" si="24"/>
        <v>0</v>
      </c>
      <c r="Z85" s="273">
        <f t="shared" si="32"/>
        <v>17.360000000000003</v>
      </c>
      <c r="AA85" s="142">
        <f t="shared" si="25"/>
        <v>5.208000000000001</v>
      </c>
      <c r="AB85" s="4"/>
      <c r="AC85" s="4"/>
    </row>
    <row r="86" spans="1:29" ht="12.75">
      <c r="A86" s="51" t="s">
        <v>18</v>
      </c>
      <c r="B86" s="139">
        <f t="shared" si="12"/>
        <v>1.3796994885007494</v>
      </c>
      <c r="C86" s="165">
        <f t="shared" si="13"/>
        <v>0.06624595881998059</v>
      </c>
      <c r="D86" s="165">
        <f t="shared" si="27"/>
        <v>1.44594544732073</v>
      </c>
      <c r="E86" s="55">
        <f t="shared" si="26"/>
        <v>0</v>
      </c>
      <c r="F86" s="139">
        <f t="shared" si="33"/>
        <v>2.1552</v>
      </c>
      <c r="G86" s="142">
        <f t="shared" si="28"/>
        <v>42.608304</v>
      </c>
      <c r="H86" s="139">
        <f t="shared" si="15"/>
        <v>0.6144</v>
      </c>
      <c r="I86" s="165">
        <f t="shared" si="16"/>
        <v>1.2324</v>
      </c>
      <c r="J86" s="274">
        <f t="shared" si="17"/>
        <v>0</v>
      </c>
      <c r="K86" s="165">
        <f t="shared" si="18"/>
        <v>1.8468</v>
      </c>
      <c r="L86" s="270">
        <f>K86*$L$65</f>
        <v>0</v>
      </c>
      <c r="M86" s="139">
        <f t="shared" si="19"/>
        <v>0.16536</v>
      </c>
      <c r="N86" s="165">
        <f t="shared" si="20"/>
        <v>8.607059999999999</v>
      </c>
      <c r="O86" s="165">
        <f t="shared" si="5"/>
        <v>1.12875</v>
      </c>
      <c r="P86" s="165">
        <f>M86+N86+O86</f>
        <v>9.901169999999999</v>
      </c>
      <c r="Q86" s="55">
        <f t="shared" si="21"/>
        <v>0</v>
      </c>
      <c r="R86" s="139">
        <f t="shared" si="6"/>
        <v>0.2532</v>
      </c>
      <c r="S86" s="165">
        <f t="shared" si="7"/>
        <v>12.51085</v>
      </c>
      <c r="T86" s="165">
        <f t="shared" si="31"/>
        <v>12.76405</v>
      </c>
      <c r="U86" s="254">
        <f t="shared" si="9"/>
        <v>0</v>
      </c>
      <c r="V86" s="139">
        <f t="shared" si="22"/>
        <v>0</v>
      </c>
      <c r="W86" s="142">
        <f t="shared" si="10"/>
        <v>0</v>
      </c>
      <c r="X86" s="165">
        <f t="shared" si="23"/>
        <v>0.6447999999999999</v>
      </c>
      <c r="Y86" s="256">
        <f t="shared" si="24"/>
        <v>0</v>
      </c>
      <c r="Z86" s="273">
        <f t="shared" si="32"/>
        <v>0.6447999999999999</v>
      </c>
      <c r="AA86" s="142">
        <f t="shared" si="25"/>
        <v>0.19343999999999997</v>
      </c>
      <c r="AB86" s="4"/>
      <c r="AC86" s="4"/>
    </row>
    <row r="87" spans="1:29" ht="12.75">
      <c r="A87" s="51" t="s">
        <v>118</v>
      </c>
      <c r="B87" s="139">
        <f t="shared" si="12"/>
        <v>3.1618113278142177</v>
      </c>
      <c r="C87" s="165">
        <f t="shared" si="13"/>
        <v>0.062424076580366326</v>
      </c>
      <c r="D87" s="165">
        <f>B87+C87</f>
        <v>3.2242354043945842</v>
      </c>
      <c r="E87" s="55">
        <f>D87*$E$65</f>
        <v>0</v>
      </c>
      <c r="F87" s="139">
        <f t="shared" si="33"/>
        <v>4.939</v>
      </c>
      <c r="G87" s="142">
        <f>F87*$G$65</f>
        <v>97.64403</v>
      </c>
      <c r="H87" s="139">
        <f t="shared" si="15"/>
        <v>1.408</v>
      </c>
      <c r="I87" s="165">
        <f t="shared" si="16"/>
        <v>1.1613</v>
      </c>
      <c r="J87" s="274">
        <f t="shared" si="17"/>
        <v>0</v>
      </c>
      <c r="K87" s="165">
        <f t="shared" si="18"/>
        <v>2.5693</v>
      </c>
      <c r="L87" s="270">
        <f>K87*$L$65</f>
        <v>0</v>
      </c>
      <c r="M87" s="139">
        <f t="shared" si="19"/>
        <v>0.37895</v>
      </c>
      <c r="N87" s="165">
        <f t="shared" si="20"/>
        <v>30.788099999999996</v>
      </c>
      <c r="O87" s="165">
        <f t="shared" si="5"/>
        <v>0</v>
      </c>
      <c r="P87" s="165">
        <f>M87+N87+O87</f>
        <v>31.167049999999996</v>
      </c>
      <c r="Q87" s="55">
        <f t="shared" si="21"/>
        <v>0</v>
      </c>
      <c r="R87" s="139">
        <f t="shared" si="6"/>
        <v>0.5802499999999999</v>
      </c>
      <c r="S87" s="165">
        <f t="shared" si="7"/>
        <v>44.75225</v>
      </c>
      <c r="T87" s="165">
        <f>R87+S87</f>
        <v>45.332499999999996</v>
      </c>
      <c r="U87" s="254">
        <f t="shared" si="9"/>
        <v>0</v>
      </c>
      <c r="V87" s="139">
        <f t="shared" si="22"/>
        <v>0</v>
      </c>
      <c r="W87" s="142">
        <f t="shared" si="10"/>
        <v>0</v>
      </c>
      <c r="X87" s="165">
        <f t="shared" si="23"/>
        <v>0.6076</v>
      </c>
      <c r="Y87" s="256">
        <f t="shared" si="24"/>
        <v>0</v>
      </c>
      <c r="Z87" s="273">
        <f t="shared" si="32"/>
        <v>0.6076</v>
      </c>
      <c r="AA87" s="142">
        <f t="shared" si="25"/>
        <v>0.18228</v>
      </c>
      <c r="AB87" s="4"/>
      <c r="AC87" s="4"/>
    </row>
    <row r="88" spans="1:29" ht="12.75">
      <c r="A88" s="51" t="s">
        <v>119</v>
      </c>
      <c r="B88" s="139">
        <f t="shared" si="12"/>
        <v>2.356986626188781</v>
      </c>
      <c r="C88" s="165">
        <f t="shared" si="13"/>
        <v>0.11975231017458031</v>
      </c>
      <c r="D88" s="165">
        <f t="shared" si="27"/>
        <v>2.476738936363361</v>
      </c>
      <c r="E88" s="55">
        <f t="shared" si="26"/>
        <v>0</v>
      </c>
      <c r="F88" s="139">
        <f t="shared" si="33"/>
        <v>3.6818000000000004</v>
      </c>
      <c r="G88" s="142">
        <f t="shared" si="28"/>
        <v>72.789186</v>
      </c>
      <c r="H88" s="139">
        <f t="shared" si="15"/>
        <v>1.0496</v>
      </c>
      <c r="I88" s="165">
        <f t="shared" si="16"/>
        <v>2.2278000000000002</v>
      </c>
      <c r="J88" s="274">
        <f t="shared" si="17"/>
        <v>0</v>
      </c>
      <c r="K88" s="165">
        <f t="shared" si="18"/>
        <v>3.2774</v>
      </c>
      <c r="L88" s="270">
        <f>K88*$L$65</f>
        <v>0</v>
      </c>
      <c r="M88" s="139">
        <f t="shared" si="19"/>
        <v>0.2824900000000001</v>
      </c>
      <c r="N88" s="165">
        <f t="shared" si="20"/>
        <v>0.20411999999999997</v>
      </c>
      <c r="O88" s="165">
        <f t="shared" si="5"/>
        <v>1.06554</v>
      </c>
      <c r="P88" s="165">
        <f>M88+N88+O88</f>
        <v>1.55215</v>
      </c>
      <c r="Q88" s="55">
        <f t="shared" si="21"/>
        <v>0</v>
      </c>
      <c r="R88" s="139">
        <f t="shared" si="6"/>
        <v>0.43255000000000005</v>
      </c>
      <c r="S88" s="165">
        <f t="shared" si="7"/>
        <v>0.29669999999999996</v>
      </c>
      <c r="T88" s="165">
        <f t="shared" si="31"/>
        <v>0.72925</v>
      </c>
      <c r="U88" s="254">
        <f t="shared" si="9"/>
        <v>0</v>
      </c>
      <c r="V88" s="139">
        <f t="shared" si="22"/>
        <v>0</v>
      </c>
      <c r="W88" s="142">
        <f t="shared" si="10"/>
        <v>0</v>
      </c>
      <c r="X88" s="165">
        <f t="shared" si="23"/>
        <v>1.1656</v>
      </c>
      <c r="Y88" s="256">
        <f t="shared" si="24"/>
        <v>0</v>
      </c>
      <c r="Z88" s="273">
        <f t="shared" si="32"/>
        <v>1.1656</v>
      </c>
      <c r="AA88" s="142">
        <f t="shared" si="25"/>
        <v>0.34968</v>
      </c>
      <c r="AB88" s="4"/>
      <c r="AC88" s="4"/>
    </row>
    <row r="89" spans="1:29" ht="12.75">
      <c r="A89" s="51" t="s">
        <v>101</v>
      </c>
      <c r="B89" s="139">
        <f t="shared" si="12"/>
        <v>1.1497495737506247</v>
      </c>
      <c r="C89" s="165">
        <f t="shared" si="13"/>
        <v>0.03694486164960456</v>
      </c>
      <c r="D89" s="165">
        <f t="shared" si="27"/>
        <v>1.1866944354002293</v>
      </c>
      <c r="E89" s="55">
        <f t="shared" si="26"/>
        <v>0</v>
      </c>
      <c r="F89" s="139">
        <f t="shared" si="33"/>
        <v>1.796</v>
      </c>
      <c r="G89" s="142">
        <f t="shared" si="28"/>
        <v>35.50692</v>
      </c>
      <c r="H89" s="139">
        <f t="shared" si="15"/>
        <v>0.512</v>
      </c>
      <c r="I89" s="165">
        <f t="shared" si="16"/>
        <v>0.6872999999999999</v>
      </c>
      <c r="J89" s="274">
        <f t="shared" si="17"/>
        <v>0</v>
      </c>
      <c r="K89" s="165">
        <f t="shared" si="18"/>
        <v>1.1993</v>
      </c>
      <c r="L89" s="270">
        <f>K89*$L$65</f>
        <v>0</v>
      </c>
      <c r="M89" s="139">
        <f t="shared" si="19"/>
        <v>0.1378</v>
      </c>
      <c r="N89" s="165">
        <f t="shared" si="20"/>
        <v>6.531839999999999</v>
      </c>
      <c r="O89" s="165">
        <f t="shared" si="5"/>
        <v>0.7675500000000001</v>
      </c>
      <c r="P89" s="165">
        <f>M89+N89+O89</f>
        <v>7.437189999999999</v>
      </c>
      <c r="Q89" s="55">
        <f t="shared" si="21"/>
        <v>0</v>
      </c>
      <c r="R89" s="139">
        <f t="shared" si="6"/>
        <v>0.211</v>
      </c>
      <c r="S89" s="165">
        <f t="shared" si="7"/>
        <v>9.494399999999999</v>
      </c>
      <c r="T89" s="165">
        <f t="shared" si="31"/>
        <v>9.7054</v>
      </c>
      <c r="U89" s="254">
        <f t="shared" si="9"/>
        <v>0</v>
      </c>
      <c r="V89" s="139">
        <f t="shared" si="22"/>
        <v>0</v>
      </c>
      <c r="W89" s="142">
        <f t="shared" si="10"/>
        <v>0</v>
      </c>
      <c r="X89" s="165">
        <f t="shared" si="23"/>
        <v>0.3596</v>
      </c>
      <c r="Y89" s="256">
        <f t="shared" si="24"/>
        <v>0</v>
      </c>
      <c r="Z89" s="273">
        <f t="shared" si="32"/>
        <v>0.3596</v>
      </c>
      <c r="AA89" s="142">
        <f t="shared" si="25"/>
        <v>0.10787999999999999</v>
      </c>
      <c r="AB89" s="4"/>
      <c r="AC89" s="4"/>
    </row>
    <row r="90" spans="1:29" ht="13.5" thickBot="1">
      <c r="A90" s="51" t="s">
        <v>102</v>
      </c>
      <c r="B90" s="139">
        <f t="shared" si="12"/>
        <v>1.1497495737506247</v>
      </c>
      <c r="C90" s="165">
        <f t="shared" si="13"/>
        <v>0</v>
      </c>
      <c r="D90" s="165">
        <f>B90+C90</f>
        <v>1.1497495737506247</v>
      </c>
      <c r="E90" s="55">
        <f>D90*$E$65</f>
        <v>0</v>
      </c>
      <c r="F90" s="139">
        <f t="shared" si="33"/>
        <v>1.796</v>
      </c>
      <c r="G90" s="142">
        <f t="shared" si="28"/>
        <v>35.50692</v>
      </c>
      <c r="H90" s="139">
        <f t="shared" si="15"/>
        <v>0.512</v>
      </c>
      <c r="I90" s="165">
        <f t="shared" si="16"/>
        <v>0</v>
      </c>
      <c r="J90" s="274">
        <f t="shared" si="17"/>
        <v>0</v>
      </c>
      <c r="K90" s="165">
        <f t="shared" si="18"/>
        <v>0.512</v>
      </c>
      <c r="L90" s="270">
        <f>K90*$L$65</f>
        <v>0</v>
      </c>
      <c r="M90" s="139">
        <f t="shared" si="19"/>
        <v>0.1378</v>
      </c>
      <c r="N90" s="165">
        <f t="shared" si="20"/>
        <v>49.6692</v>
      </c>
      <c r="O90" s="165">
        <f t="shared" si="5"/>
        <v>0.7133700000000001</v>
      </c>
      <c r="P90" s="165">
        <f>M90+N90+O90</f>
        <v>50.52036999999999</v>
      </c>
      <c r="Q90" s="55">
        <f t="shared" si="21"/>
        <v>0</v>
      </c>
      <c r="R90" s="139">
        <f t="shared" si="6"/>
        <v>0.211</v>
      </c>
      <c r="S90" s="165">
        <f t="shared" si="7"/>
        <v>72.19699999999999</v>
      </c>
      <c r="T90" s="165">
        <f>R90+S90</f>
        <v>72.40799999999999</v>
      </c>
      <c r="U90" s="254">
        <f t="shared" si="9"/>
        <v>0</v>
      </c>
      <c r="V90" s="139">
        <f t="shared" si="22"/>
        <v>0</v>
      </c>
      <c r="W90" s="142">
        <f t="shared" si="10"/>
        <v>0</v>
      </c>
      <c r="X90" s="165">
        <f t="shared" si="23"/>
        <v>0</v>
      </c>
      <c r="Y90" s="256">
        <f t="shared" si="24"/>
        <v>0</v>
      </c>
      <c r="Z90" s="273">
        <f t="shared" si="32"/>
        <v>0</v>
      </c>
      <c r="AA90" s="142">
        <f t="shared" si="25"/>
        <v>0</v>
      </c>
      <c r="AB90" s="4"/>
      <c r="AC90" s="4"/>
    </row>
    <row r="91" spans="1:29" ht="13.5" thickBot="1">
      <c r="A91" s="155" t="s">
        <v>50</v>
      </c>
      <c r="B91" s="166">
        <f>SUM(B67:B90)</f>
        <v>574.8747868753122</v>
      </c>
      <c r="C91" s="167">
        <f aca="true" t="shared" si="34" ref="C91:X91">SUM(C67:C90)</f>
        <v>12.739607465380882</v>
      </c>
      <c r="D91" s="167">
        <f>SUM(D67:D90)</f>
        <v>587.6143943406933</v>
      </c>
      <c r="E91" s="168">
        <f t="shared" si="34"/>
        <v>0</v>
      </c>
      <c r="F91" s="166">
        <f t="shared" si="34"/>
        <v>897.9999999999999</v>
      </c>
      <c r="G91" s="168">
        <f t="shared" si="34"/>
        <v>17753.46</v>
      </c>
      <c r="H91" s="166">
        <f>SUM(H67:H90)</f>
        <v>255.99999999999991</v>
      </c>
      <c r="I91" s="167">
        <f t="shared" si="34"/>
        <v>237.00000000000003</v>
      </c>
      <c r="J91" s="275">
        <f>SUM(J67:J90)</f>
        <v>551</v>
      </c>
      <c r="K91" s="167">
        <f>SUM(K67:K90)</f>
        <v>1044</v>
      </c>
      <c r="L91" s="271">
        <f>SUM(L67:L90)</f>
        <v>0</v>
      </c>
      <c r="M91" s="166">
        <f t="shared" si="34"/>
        <v>68.9</v>
      </c>
      <c r="N91" s="167">
        <f t="shared" si="34"/>
        <v>340.19999999999993</v>
      </c>
      <c r="O91" s="167">
        <f t="shared" si="34"/>
        <v>90.3</v>
      </c>
      <c r="P91" s="167">
        <f>SUM(P67:P90)</f>
        <v>499.3999999999999</v>
      </c>
      <c r="Q91" s="168">
        <f t="shared" si="34"/>
        <v>0</v>
      </c>
      <c r="R91" s="166">
        <f t="shared" si="34"/>
        <v>105.50000000000004</v>
      </c>
      <c r="S91" s="167">
        <f t="shared" si="34"/>
        <v>494.5</v>
      </c>
      <c r="T91" s="167">
        <f t="shared" si="34"/>
        <v>600.0000000000001</v>
      </c>
      <c r="U91" s="255">
        <f t="shared" si="34"/>
        <v>0</v>
      </c>
      <c r="V91" s="166">
        <f t="shared" si="34"/>
        <v>315</v>
      </c>
      <c r="W91" s="168">
        <f>SUM(W67:W90)</f>
        <v>0</v>
      </c>
      <c r="X91" s="166">
        <f t="shared" si="34"/>
        <v>124.00000000000001</v>
      </c>
      <c r="Y91" s="257">
        <f>SUM(Y67:Y90)</f>
        <v>182.00000000000003</v>
      </c>
      <c r="Z91" s="167">
        <f>SUM(Z67:Z90)</f>
        <v>305.99999999999994</v>
      </c>
      <c r="AA91" s="168">
        <f>SUM(AA67:AA90)</f>
        <v>91.79999999999998</v>
      </c>
      <c r="AB91" s="4"/>
      <c r="AC91" s="4"/>
    </row>
    <row r="92" spans="1:25" ht="12.75">
      <c r="A92" s="169" t="s">
        <v>73</v>
      </c>
      <c r="B92" s="41"/>
      <c r="C92" s="41"/>
      <c r="D92" s="41"/>
      <c r="E92" s="38"/>
      <c r="F92" s="41"/>
      <c r="G92" s="38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4"/>
      <c r="Y92" s="4"/>
    </row>
    <row r="93" spans="1:25" ht="12.75">
      <c r="A93" s="137" t="s">
        <v>78</v>
      </c>
      <c r="B93" s="179"/>
      <c r="C93" s="179"/>
      <c r="D93" s="42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4"/>
      <c r="Y93" s="4"/>
    </row>
    <row r="94" spans="1:25" ht="12.75">
      <c r="A94" s="137" t="s">
        <v>81</v>
      </c>
      <c r="B94" s="179"/>
      <c r="C94" s="179"/>
      <c r="D94" s="4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4"/>
      <c r="Y94" s="4"/>
    </row>
    <row r="95" spans="1:23" ht="13.5" thickBo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1:23" ht="16.5" thickBot="1">
      <c r="A96" s="198" t="s">
        <v>65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1:23" ht="76.5">
      <c r="A97" s="170" t="s">
        <v>3</v>
      </c>
      <c r="B97" s="122" t="s">
        <v>82</v>
      </c>
      <c r="C97" s="124" t="s">
        <v>113</v>
      </c>
      <c r="D97" s="31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1:23" ht="12.75">
      <c r="A98" s="51" t="s">
        <v>29</v>
      </c>
      <c r="B98" s="54">
        <f>C27*E65</f>
        <v>0</v>
      </c>
      <c r="C98" s="55">
        <f>(C13+C20)*E65</f>
        <v>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1:23" ht="12.75">
      <c r="A99" s="51" t="s">
        <v>35</v>
      </c>
      <c r="B99" s="54">
        <f>D27*G65</f>
        <v>0</v>
      </c>
      <c r="C99" s="55">
        <f>(D13+D20)*G65</f>
        <v>17753.46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1:23" ht="12.75">
      <c r="A100" s="51" t="s">
        <v>5</v>
      </c>
      <c r="B100" s="54">
        <f>E27*J65</f>
        <v>0</v>
      </c>
      <c r="C100" s="55">
        <f>(E13+E20)*J65</f>
        <v>0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23" ht="12.75">
      <c r="A101" s="171" t="s">
        <v>8</v>
      </c>
      <c r="B101" s="54">
        <f>F27*Q65</f>
        <v>0</v>
      </c>
      <c r="C101" s="55">
        <f>(F13+F20)*Q65</f>
        <v>0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1:23" ht="12.75">
      <c r="A102" s="171" t="s">
        <v>36</v>
      </c>
      <c r="B102" s="54">
        <f>G27*U65</f>
        <v>0</v>
      </c>
      <c r="C102" s="55">
        <f>(G13+G20)*U65</f>
        <v>0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1:23" ht="12.75">
      <c r="A103" s="171" t="s">
        <v>37</v>
      </c>
      <c r="B103" s="172">
        <f>I27*AC65</f>
        <v>0</v>
      </c>
      <c r="C103" s="55">
        <f>(I13+I20)*AC65</f>
        <v>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ht="12.75">
      <c r="A104" s="171" t="s">
        <v>15</v>
      </c>
      <c r="B104" s="172">
        <f>J27*W65</f>
        <v>0</v>
      </c>
      <c r="C104" s="55">
        <f>(J13+J20)*W65</f>
        <v>0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ht="12.75">
      <c r="A105" s="171" t="s">
        <v>11</v>
      </c>
      <c r="B105" s="172">
        <f>K27*AA65</f>
        <v>19.71</v>
      </c>
      <c r="C105" s="173">
        <f>(K13+K20)*AA65</f>
        <v>91.8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  <row r="106" spans="1:23" ht="13.5" thickBot="1">
      <c r="A106" s="144" t="s">
        <v>50</v>
      </c>
      <c r="B106" s="174">
        <f>SUM(B98:B105)</f>
        <v>19.71</v>
      </c>
      <c r="C106" s="62">
        <f>SUM(C98:C105)</f>
        <v>17845.26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</row>
    <row r="107" spans="1:23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1:23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1:23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1:23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1:23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</row>
    <row r="112" spans="1:23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</row>
    <row r="113" spans="1:23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</row>
    <row r="114" spans="1:23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</row>
    <row r="115" spans="1:23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</row>
    <row r="116" spans="1:23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</row>
    <row r="117" spans="1:23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</row>
    <row r="118" spans="1:23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</row>
    <row r="119" spans="1:23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</row>
    <row r="120" spans="1:23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</row>
    <row r="121" spans="1:23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</row>
    <row r="122" spans="1:23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</row>
    <row r="123" spans="1:23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</row>
    <row r="124" spans="1:23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</row>
    <row r="125" spans="1:23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</row>
    <row r="126" spans="1:23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</row>
    <row r="127" spans="1:23" ht="12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</row>
    <row r="128" spans="1:23" ht="12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</row>
    <row r="129" spans="1:23" ht="12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</row>
    <row r="130" spans="1:23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</row>
    <row r="131" spans="1:23" ht="12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</row>
    <row r="132" spans="1:23" ht="12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</row>
    <row r="133" spans="1:23" ht="12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</row>
    <row r="134" spans="1:23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</row>
    <row r="135" spans="1:23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</row>
    <row r="136" spans="1:23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</row>
    <row r="137" spans="1:23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</row>
    <row r="138" spans="1:23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</row>
    <row r="139" spans="1:23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</row>
    <row r="140" spans="1:23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</row>
    <row r="141" spans="1:23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</row>
    <row r="142" spans="1:23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</row>
    <row r="143" spans="1:23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</row>
    <row r="144" spans="1:23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</row>
    <row r="145" spans="1:23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</row>
    <row r="146" spans="1:23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</row>
    <row r="147" spans="1:23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</row>
    <row r="148" spans="1:23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</row>
    <row r="149" spans="1:23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</row>
    <row r="150" spans="1:23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</row>
    <row r="151" spans="1:23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</row>
    <row r="152" spans="1:23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</row>
    <row r="153" spans="1:23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</row>
    <row r="154" spans="1:23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</row>
    <row r="155" spans="1:23" ht="12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</row>
    <row r="156" spans="1:23" ht="12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</row>
    <row r="157" spans="1:23" ht="12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</row>
    <row r="158" spans="1:23" ht="12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</row>
    <row r="159" spans="1:23" ht="12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</row>
    <row r="160" spans="1:23" ht="12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</row>
    <row r="161" spans="1:23" ht="12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</row>
    <row r="162" spans="1:23" ht="12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</row>
    <row r="163" spans="1:23" ht="12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</row>
    <row r="164" spans="1:23" ht="12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</row>
    <row r="165" spans="1:23" ht="12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</row>
    <row r="166" spans="1:23" ht="12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</row>
  </sheetData>
  <sheetProtection/>
  <mergeCells count="19">
    <mergeCell ref="I60:L60"/>
    <mergeCell ref="AB64:AC64"/>
    <mergeCell ref="F64:G64"/>
    <mergeCell ref="M65:P65"/>
    <mergeCell ref="M64:Q64"/>
    <mergeCell ref="H64:L64"/>
    <mergeCell ref="H65:K65"/>
    <mergeCell ref="R64:U64"/>
    <mergeCell ref="R65:T65"/>
    <mergeCell ref="A30:K30"/>
    <mergeCell ref="AB66:AC66"/>
    <mergeCell ref="A3:A4"/>
    <mergeCell ref="B64:E64"/>
    <mergeCell ref="B65:D65"/>
    <mergeCell ref="A63:A65"/>
    <mergeCell ref="V64:W64"/>
    <mergeCell ref="X64:AA64"/>
    <mergeCell ref="X65:Z65"/>
    <mergeCell ref="A60:G60"/>
  </mergeCells>
  <printOptions/>
  <pageMargins left="0" right="0" top="0" bottom="0" header="0.3" footer="0.3"/>
  <pageSetup fitToHeight="1" fitToWidth="1" horizontalDpi="600" verticalDpi="600" orientation="landscape" paperSize="17" scale="42" r:id="rId1"/>
  <rowBreaks count="1" manualBreakCount="1">
    <brk id="62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7" width="16.7109375" style="0" customWidth="1"/>
  </cols>
  <sheetData>
    <row r="1" spans="1:10" ht="18.75">
      <c r="A1" s="313" t="s">
        <v>313</v>
      </c>
      <c r="B1" s="4"/>
      <c r="C1" s="4"/>
      <c r="D1" s="4"/>
      <c r="E1" s="4"/>
      <c r="F1" s="4"/>
      <c r="G1" s="4"/>
      <c r="H1" s="4"/>
      <c r="I1" s="4"/>
      <c r="J1" s="4"/>
    </row>
    <row r="2" spans="1:8" ht="18.75">
      <c r="A2" s="3"/>
      <c r="B2" s="7"/>
      <c r="C2" s="4" t="s">
        <v>24</v>
      </c>
      <c r="D2" s="4" t="s">
        <v>24</v>
      </c>
      <c r="E2" s="357" t="s">
        <v>24</v>
      </c>
      <c r="F2" s="358"/>
      <c r="G2" s="16"/>
      <c r="H2" s="4"/>
    </row>
    <row r="3" spans="1:10" ht="15.75">
      <c r="A3" s="685" t="s">
        <v>58</v>
      </c>
      <c r="B3" s="685"/>
      <c r="C3" s="359"/>
      <c r="D3" s="359"/>
      <c r="E3" s="359"/>
      <c r="F3" s="359"/>
      <c r="G3" s="359"/>
      <c r="H3" s="359"/>
      <c r="I3" s="360" t="s">
        <v>24</v>
      </c>
      <c r="J3" s="360"/>
    </row>
    <row r="4" spans="1:16" ht="51">
      <c r="A4" s="227" t="s">
        <v>151</v>
      </c>
      <c r="B4" s="203" t="s">
        <v>155</v>
      </c>
      <c r="C4" s="203" t="s">
        <v>157</v>
      </c>
      <c r="D4" s="228" t="s">
        <v>171</v>
      </c>
      <c r="E4" s="203" t="s">
        <v>262</v>
      </c>
      <c r="F4" s="228" t="s">
        <v>176</v>
      </c>
      <c r="G4" s="203" t="s">
        <v>177</v>
      </c>
      <c r="H4" s="228" t="s">
        <v>211</v>
      </c>
      <c r="I4" s="330"/>
      <c r="J4" s="330"/>
      <c r="K4" s="330"/>
      <c r="L4" s="330"/>
      <c r="M4" s="330"/>
      <c r="N4" s="330"/>
      <c r="O4" s="330"/>
      <c r="P4" s="330"/>
    </row>
    <row r="5" spans="1:16" ht="12.75">
      <c r="A5" s="226" t="s">
        <v>6</v>
      </c>
      <c r="B5" s="33">
        <v>51.33</v>
      </c>
      <c r="C5" s="33">
        <v>0</v>
      </c>
      <c r="D5" s="182">
        <f>B5+C5</f>
        <v>51.33</v>
      </c>
      <c r="E5" s="299">
        <v>-36.33</v>
      </c>
      <c r="F5" s="182">
        <f>D5+E5</f>
        <v>15</v>
      </c>
      <c r="G5" s="299">
        <v>0</v>
      </c>
      <c r="H5" s="182">
        <f>F5+G5</f>
        <v>15</v>
      </c>
      <c r="I5" s="25"/>
      <c r="J5" s="361" t="s">
        <v>24</v>
      </c>
      <c r="K5" s="35"/>
      <c r="L5" s="35"/>
      <c r="M5" s="362"/>
      <c r="N5" s="35"/>
      <c r="O5" s="362"/>
      <c r="P5" s="35"/>
    </row>
    <row r="6" spans="1:16" ht="12.75">
      <c r="A6" s="226" t="s">
        <v>29</v>
      </c>
      <c r="B6" s="33">
        <f>$B$5</f>
        <v>51.33</v>
      </c>
      <c r="C6" s="33">
        <v>0</v>
      </c>
      <c r="D6" s="182">
        <f>B6+C6</f>
        <v>51.33</v>
      </c>
      <c r="E6" s="299">
        <v>-36.33</v>
      </c>
      <c r="F6" s="182">
        <f aca="true" t="shared" si="0" ref="F6:F17">D6+E6</f>
        <v>15</v>
      </c>
      <c r="G6" s="299">
        <v>0</v>
      </c>
      <c r="H6" s="182">
        <f aca="true" t="shared" si="1" ref="H6:H17">F6+G6</f>
        <v>15</v>
      </c>
      <c r="I6" s="25"/>
      <c r="J6" s="35"/>
      <c r="K6" s="35"/>
      <c r="L6" s="35"/>
      <c r="M6" s="362"/>
      <c r="N6" s="35"/>
      <c r="O6" s="362"/>
      <c r="P6" s="35"/>
    </row>
    <row r="7" spans="1:16" ht="12.75">
      <c r="A7" s="226" t="s">
        <v>35</v>
      </c>
      <c r="B7" s="33">
        <f aca="true" t="shared" si="2" ref="B7:B17">$B$5</f>
        <v>51.33</v>
      </c>
      <c r="C7" s="33">
        <v>7.22</v>
      </c>
      <c r="D7" s="182">
        <f>B7+C6+C7</f>
        <v>58.55</v>
      </c>
      <c r="E7" s="299">
        <v>-36.33</v>
      </c>
      <c r="F7" s="182">
        <f t="shared" si="0"/>
        <v>22.22</v>
      </c>
      <c r="G7" s="299">
        <v>0</v>
      </c>
      <c r="H7" s="182">
        <f t="shared" si="1"/>
        <v>22.22</v>
      </c>
      <c r="I7" s="25"/>
      <c r="J7" s="35"/>
      <c r="K7" s="35"/>
      <c r="L7" s="35"/>
      <c r="M7" s="362"/>
      <c r="N7" s="35"/>
      <c r="O7" s="362"/>
      <c r="P7" s="35"/>
    </row>
    <row r="8" spans="1:16" ht="12.75">
      <c r="A8" s="226" t="s">
        <v>5</v>
      </c>
      <c r="B8" s="33">
        <f t="shared" si="2"/>
        <v>51.33</v>
      </c>
      <c r="C8" s="33">
        <v>0</v>
      </c>
      <c r="D8" s="182">
        <f>B8+C6+C8</f>
        <v>51.33</v>
      </c>
      <c r="E8" s="299">
        <v>-36.33</v>
      </c>
      <c r="F8" s="182">
        <f t="shared" si="0"/>
        <v>15</v>
      </c>
      <c r="G8" s="299">
        <v>0</v>
      </c>
      <c r="H8" s="182">
        <f t="shared" si="1"/>
        <v>15</v>
      </c>
      <c r="I8" s="25"/>
      <c r="J8" s="35"/>
      <c r="K8" s="35"/>
      <c r="L8" s="35"/>
      <c r="M8" s="362"/>
      <c r="N8" s="35"/>
      <c r="O8" s="362"/>
      <c r="P8" s="35"/>
    </row>
    <row r="9" spans="1:16" ht="12.75">
      <c r="A9" s="226" t="s">
        <v>8</v>
      </c>
      <c r="B9" s="33">
        <f t="shared" si="2"/>
        <v>51.33</v>
      </c>
      <c r="C9" s="33">
        <v>0</v>
      </c>
      <c r="D9" s="182">
        <f>B9+C6+C7+C9</f>
        <v>58.55</v>
      </c>
      <c r="E9" s="299">
        <v>-36.33</v>
      </c>
      <c r="F9" s="182">
        <f t="shared" si="0"/>
        <v>22.22</v>
      </c>
      <c r="G9" s="299">
        <v>0</v>
      </c>
      <c r="H9" s="182">
        <f t="shared" si="1"/>
        <v>22.22</v>
      </c>
      <c r="I9" s="25"/>
      <c r="J9" s="35"/>
      <c r="K9" s="35"/>
      <c r="L9" s="35"/>
      <c r="M9" s="362"/>
      <c r="N9" s="35"/>
      <c r="O9" s="362"/>
      <c r="P9" s="35"/>
    </row>
    <row r="10" spans="1:16" ht="12.75">
      <c r="A10" s="226" t="s">
        <v>36</v>
      </c>
      <c r="B10" s="33">
        <f t="shared" si="2"/>
        <v>51.33</v>
      </c>
      <c r="C10" s="33">
        <v>0</v>
      </c>
      <c r="D10" s="182">
        <f>B10+C6+C7+C9+C10</f>
        <v>58.55</v>
      </c>
      <c r="E10" s="299">
        <v>-36.33</v>
      </c>
      <c r="F10" s="182">
        <f t="shared" si="0"/>
        <v>22.22</v>
      </c>
      <c r="G10" s="299">
        <v>0</v>
      </c>
      <c r="H10" s="182">
        <f t="shared" si="1"/>
        <v>22.22</v>
      </c>
      <c r="I10" s="25"/>
      <c r="J10" s="35"/>
      <c r="K10" s="35"/>
      <c r="L10" s="35"/>
      <c r="M10" s="362"/>
      <c r="N10" s="35"/>
      <c r="O10" s="362"/>
      <c r="P10" s="35"/>
    </row>
    <row r="11" spans="1:16" ht="12.75">
      <c r="A11" s="226" t="s">
        <v>37</v>
      </c>
      <c r="B11" s="33">
        <f t="shared" si="2"/>
        <v>51.33</v>
      </c>
      <c r="C11" s="33">
        <v>0</v>
      </c>
      <c r="D11" s="182">
        <f>B11+C6+C7+C11</f>
        <v>58.55</v>
      </c>
      <c r="E11" s="299">
        <v>-36.33</v>
      </c>
      <c r="F11" s="182">
        <f t="shared" si="0"/>
        <v>22.22</v>
      </c>
      <c r="G11" s="299">
        <v>0</v>
      </c>
      <c r="H11" s="182">
        <f t="shared" si="1"/>
        <v>22.22</v>
      </c>
      <c r="I11" s="25"/>
      <c r="J11" s="35"/>
      <c r="K11" s="35"/>
      <c r="L11" s="35"/>
      <c r="M11" s="362"/>
      <c r="N11" s="35"/>
      <c r="O11" s="362"/>
      <c r="P11" s="35"/>
    </row>
    <row r="12" spans="1:16" ht="12.75">
      <c r="A12" s="24" t="s">
        <v>15</v>
      </c>
      <c r="B12" s="33">
        <f t="shared" si="2"/>
        <v>51.33</v>
      </c>
      <c r="C12" s="37">
        <v>0</v>
      </c>
      <c r="D12" s="182">
        <f>B12+C6+C8+C12</f>
        <v>51.33</v>
      </c>
      <c r="E12" s="299">
        <v>-36.33</v>
      </c>
      <c r="F12" s="182">
        <f t="shared" si="0"/>
        <v>15</v>
      </c>
      <c r="G12" s="299">
        <v>0</v>
      </c>
      <c r="H12" s="182">
        <f t="shared" si="1"/>
        <v>15</v>
      </c>
      <c r="I12" s="25"/>
      <c r="J12" s="35"/>
      <c r="K12" s="35"/>
      <c r="L12" s="35"/>
      <c r="M12" s="362"/>
      <c r="N12" s="35"/>
      <c r="O12" s="362"/>
      <c r="P12" s="35"/>
    </row>
    <row r="13" spans="1:16" ht="12.75">
      <c r="A13" s="24" t="s">
        <v>45</v>
      </c>
      <c r="B13" s="33">
        <f t="shared" si="2"/>
        <v>51.33</v>
      </c>
      <c r="C13" s="37">
        <v>0</v>
      </c>
      <c r="D13" s="182">
        <f>B13+C13</f>
        <v>51.33</v>
      </c>
      <c r="E13" s="299">
        <v>-36.33</v>
      </c>
      <c r="F13" s="182">
        <f t="shared" si="0"/>
        <v>15</v>
      </c>
      <c r="G13" s="299">
        <v>0</v>
      </c>
      <c r="H13" s="182">
        <f>F13+G13</f>
        <v>15</v>
      </c>
      <c r="I13" s="25"/>
      <c r="J13" s="35"/>
      <c r="K13" s="35"/>
      <c r="L13" s="35"/>
      <c r="M13" s="362"/>
      <c r="N13" s="35"/>
      <c r="O13" s="362"/>
      <c r="P13" s="35"/>
    </row>
    <row r="14" spans="1:16" ht="12.75">
      <c r="A14" s="24" t="s">
        <v>127</v>
      </c>
      <c r="B14" s="33">
        <f t="shared" si="2"/>
        <v>51.33</v>
      </c>
      <c r="C14" s="37">
        <v>0</v>
      </c>
      <c r="D14" s="182">
        <f>B14+C13+C14</f>
        <v>51.33</v>
      </c>
      <c r="E14" s="299">
        <v>-36.33</v>
      </c>
      <c r="F14" s="182">
        <f t="shared" si="0"/>
        <v>15</v>
      </c>
      <c r="G14" s="299">
        <v>0</v>
      </c>
      <c r="H14" s="182">
        <f t="shared" si="1"/>
        <v>15</v>
      </c>
      <c r="I14" s="25"/>
      <c r="J14" s="35"/>
      <c r="K14" s="35"/>
      <c r="L14" s="35"/>
      <c r="M14" s="362"/>
      <c r="N14" s="35"/>
      <c r="O14" s="362"/>
      <c r="P14" s="35"/>
    </row>
    <row r="15" spans="1:16" ht="12.75">
      <c r="A15" s="24" t="s">
        <v>20</v>
      </c>
      <c r="B15" s="33">
        <f t="shared" si="2"/>
        <v>51.33</v>
      </c>
      <c r="C15" s="37">
        <v>0</v>
      </c>
      <c r="D15" s="182">
        <f>B15+C15</f>
        <v>51.33</v>
      </c>
      <c r="E15" s="299">
        <v>-36.33</v>
      </c>
      <c r="F15" s="182">
        <f t="shared" si="0"/>
        <v>15</v>
      </c>
      <c r="G15" s="299">
        <v>0</v>
      </c>
      <c r="H15" s="182">
        <f t="shared" si="1"/>
        <v>15</v>
      </c>
      <c r="I15" s="25"/>
      <c r="J15" s="35"/>
      <c r="K15" s="35"/>
      <c r="L15" s="35"/>
      <c r="M15" s="362"/>
      <c r="N15" s="35"/>
      <c r="O15" s="362"/>
      <c r="P15" s="35"/>
    </row>
    <row r="16" spans="1:16" ht="12.75">
      <c r="A16" s="24" t="s">
        <v>11</v>
      </c>
      <c r="B16" s="33">
        <f t="shared" si="2"/>
        <v>51.33</v>
      </c>
      <c r="C16" s="37">
        <v>0</v>
      </c>
      <c r="D16" s="182">
        <f>B16+C6+C8+C16</f>
        <v>51.33</v>
      </c>
      <c r="E16" s="299">
        <v>-36.33</v>
      </c>
      <c r="F16" s="182">
        <f t="shared" si="0"/>
        <v>15</v>
      </c>
      <c r="G16" s="299">
        <v>0</v>
      </c>
      <c r="H16" s="182">
        <f t="shared" si="1"/>
        <v>15</v>
      </c>
      <c r="I16" s="25"/>
      <c r="J16" s="35"/>
      <c r="K16" s="35"/>
      <c r="L16" s="35"/>
      <c r="M16" s="362"/>
      <c r="N16" s="35"/>
      <c r="O16" s="362"/>
      <c r="P16" s="35"/>
    </row>
    <row r="17" spans="1:16" ht="12.75">
      <c r="A17" s="24" t="s">
        <v>10</v>
      </c>
      <c r="B17" s="33">
        <f t="shared" si="2"/>
        <v>51.33</v>
      </c>
      <c r="C17" s="37">
        <v>0</v>
      </c>
      <c r="D17" s="182">
        <f>B17+C6+C17</f>
        <v>51.33</v>
      </c>
      <c r="E17" s="299">
        <v>-36.33</v>
      </c>
      <c r="F17" s="182">
        <f t="shared" si="0"/>
        <v>15</v>
      </c>
      <c r="G17" s="299">
        <v>0</v>
      </c>
      <c r="H17" s="182">
        <f t="shared" si="1"/>
        <v>15</v>
      </c>
      <c r="I17" s="25"/>
      <c r="J17" s="35"/>
      <c r="K17" s="35"/>
      <c r="L17" s="35"/>
      <c r="M17" s="362"/>
      <c r="N17" s="35"/>
      <c r="O17" s="362"/>
      <c r="P17" s="35"/>
    </row>
    <row r="18" spans="1:16" ht="12.75">
      <c r="A18" s="24" t="s">
        <v>263</v>
      </c>
      <c r="B18" s="33" t="s">
        <v>147</v>
      </c>
      <c r="C18" s="37" t="s">
        <v>147</v>
      </c>
      <c r="D18" s="182" t="s">
        <v>147</v>
      </c>
      <c r="E18" s="33" t="s">
        <v>147</v>
      </c>
      <c r="F18" s="182" t="s">
        <v>147</v>
      </c>
      <c r="G18" s="33" t="s">
        <v>147</v>
      </c>
      <c r="H18" s="182" t="s">
        <v>147</v>
      </c>
      <c r="I18" s="25"/>
      <c r="J18" s="35"/>
      <c r="K18" s="35"/>
      <c r="L18" s="35"/>
      <c r="M18" s="35"/>
      <c r="N18" s="35"/>
      <c r="O18" s="35"/>
      <c r="P18" s="35"/>
    </row>
    <row r="19" spans="1:16" ht="12.75">
      <c r="A19" s="24" t="s">
        <v>207</v>
      </c>
      <c r="B19" s="33" t="s">
        <v>147</v>
      </c>
      <c r="C19" s="37" t="s">
        <v>147</v>
      </c>
      <c r="D19" s="182" t="s">
        <v>147</v>
      </c>
      <c r="E19" s="33" t="s">
        <v>147</v>
      </c>
      <c r="F19" s="182" t="s">
        <v>147</v>
      </c>
      <c r="G19" s="33" t="s">
        <v>147</v>
      </c>
      <c r="H19" s="182" t="s">
        <v>147</v>
      </c>
      <c r="I19" s="25"/>
      <c r="J19" s="35"/>
      <c r="K19" s="35"/>
      <c r="L19" s="35"/>
      <c r="M19" s="35"/>
      <c r="N19" s="35"/>
      <c r="O19" s="35"/>
      <c r="P19" s="35"/>
    </row>
    <row r="20" spans="1:16" ht="12.75">
      <c r="A20" s="24" t="s">
        <v>264</v>
      </c>
      <c r="B20" s="33" t="s">
        <v>147</v>
      </c>
      <c r="C20" s="37" t="s">
        <v>147</v>
      </c>
      <c r="D20" s="182" t="s">
        <v>147</v>
      </c>
      <c r="E20" s="33" t="s">
        <v>147</v>
      </c>
      <c r="F20" s="182" t="s">
        <v>147</v>
      </c>
      <c r="G20" s="33" t="s">
        <v>147</v>
      </c>
      <c r="H20" s="182" t="s">
        <v>147</v>
      </c>
      <c r="I20" s="25"/>
      <c r="J20" s="35"/>
      <c r="K20" s="35"/>
      <c r="L20" s="35"/>
      <c r="M20" s="35"/>
      <c r="N20" s="35"/>
      <c r="O20" s="35"/>
      <c r="P20" s="35"/>
    </row>
    <row r="21" spans="1:16" ht="12.75">
      <c r="A21" s="24" t="s">
        <v>209</v>
      </c>
      <c r="B21" s="33" t="s">
        <v>147</v>
      </c>
      <c r="C21" s="37" t="s">
        <v>147</v>
      </c>
      <c r="D21" s="182" t="s">
        <v>147</v>
      </c>
      <c r="E21" s="33" t="s">
        <v>147</v>
      </c>
      <c r="F21" s="182" t="s">
        <v>147</v>
      </c>
      <c r="G21" s="33" t="s">
        <v>147</v>
      </c>
      <c r="H21" s="182" t="s">
        <v>147</v>
      </c>
      <c r="I21" s="25"/>
      <c r="J21" s="35"/>
      <c r="K21" s="35"/>
      <c r="L21" s="35"/>
      <c r="M21" s="35"/>
      <c r="N21" s="35"/>
      <c r="O21" s="35"/>
      <c r="P21" s="35"/>
    </row>
    <row r="22" spans="1:16" ht="12.75">
      <c r="A22" s="24" t="s">
        <v>210</v>
      </c>
      <c r="B22" s="33" t="s">
        <v>147</v>
      </c>
      <c r="C22" s="37" t="s">
        <v>147</v>
      </c>
      <c r="D22" s="182" t="s">
        <v>147</v>
      </c>
      <c r="E22" s="33" t="s">
        <v>147</v>
      </c>
      <c r="F22" s="182" t="s">
        <v>147</v>
      </c>
      <c r="G22" s="33" t="s">
        <v>147</v>
      </c>
      <c r="H22" s="182" t="s">
        <v>147</v>
      </c>
      <c r="I22" s="25"/>
      <c r="J22" s="35"/>
      <c r="K22" s="35"/>
      <c r="L22" s="35"/>
      <c r="M22" s="35"/>
      <c r="N22" s="35"/>
      <c r="O22" s="35"/>
      <c r="P22" s="35"/>
    </row>
    <row r="23" spans="1:13" ht="12.75">
      <c r="A23" s="25" t="s">
        <v>199</v>
      </c>
      <c r="B23" s="36"/>
      <c r="C23" s="35"/>
      <c r="D23" s="35"/>
      <c r="E23" s="35"/>
      <c r="F23" s="35"/>
      <c r="G23" s="35"/>
      <c r="H23" s="35"/>
      <c r="I23" s="363"/>
      <c r="J23" s="363"/>
      <c r="M23" t="s">
        <v>24</v>
      </c>
    </row>
    <row r="24" spans="1:10" ht="24.75" customHeight="1">
      <c r="A24" s="620" t="s">
        <v>156</v>
      </c>
      <c r="B24" s="620"/>
      <c r="C24" s="620"/>
      <c r="D24" s="620"/>
      <c r="E24" s="620"/>
      <c r="F24" s="620"/>
      <c r="G24" s="620"/>
      <c r="H24" s="620"/>
      <c r="I24" s="363"/>
      <c r="J24" s="363"/>
    </row>
    <row r="25" spans="1:10" ht="12.75">
      <c r="A25" s="687" t="s">
        <v>314</v>
      </c>
      <c r="B25" s="687"/>
      <c r="C25" s="687"/>
      <c r="D25" s="687"/>
      <c r="E25" s="687"/>
      <c r="F25" s="687"/>
      <c r="G25" s="687"/>
      <c r="H25" s="687"/>
      <c r="I25" s="413" t="s">
        <v>24</v>
      </c>
      <c r="J25" s="363"/>
    </row>
    <row r="26" spans="1:14" ht="15.75">
      <c r="A26" s="686" t="s">
        <v>265</v>
      </c>
      <c r="B26" s="686"/>
      <c r="C26" s="686"/>
      <c r="D26" s="686"/>
      <c r="E26" s="365"/>
      <c r="F26" s="366"/>
      <c r="G26" s="366"/>
      <c r="H26" s="366"/>
      <c r="I26" s="363"/>
      <c r="J26" s="363"/>
      <c r="N26" s="18" t="s">
        <v>24</v>
      </c>
    </row>
    <row r="27" spans="1:18" ht="12.75">
      <c r="A27" s="683" t="s">
        <v>3</v>
      </c>
      <c r="B27" s="682" t="s">
        <v>266</v>
      </c>
      <c r="C27" s="682"/>
      <c r="D27" s="682"/>
      <c r="E27" s="682"/>
      <c r="F27" s="682" t="s">
        <v>245</v>
      </c>
      <c r="G27" s="682"/>
      <c r="H27" s="682"/>
      <c r="I27" s="682"/>
      <c r="J27" s="682" t="s">
        <v>267</v>
      </c>
      <c r="K27" s="682"/>
      <c r="L27" s="682"/>
      <c r="M27" s="682"/>
      <c r="N27" s="682" t="s">
        <v>268</v>
      </c>
      <c r="O27" s="682"/>
      <c r="P27" s="682"/>
      <c r="Q27" s="682"/>
      <c r="R27" s="363"/>
    </row>
    <row r="28" spans="1:17" ht="38.25">
      <c r="A28" s="683"/>
      <c r="B28" s="227" t="s">
        <v>269</v>
      </c>
      <c r="C28" s="203" t="s">
        <v>248</v>
      </c>
      <c r="D28" s="203" t="s">
        <v>249</v>
      </c>
      <c r="E28" s="203" t="s">
        <v>250</v>
      </c>
      <c r="F28" s="227" t="s">
        <v>269</v>
      </c>
      <c r="G28" s="203" t="s">
        <v>248</v>
      </c>
      <c r="H28" s="203" t="s">
        <v>249</v>
      </c>
      <c r="I28" s="203" t="s">
        <v>250</v>
      </c>
      <c r="J28" s="227" t="s">
        <v>269</v>
      </c>
      <c r="K28" s="203" t="s">
        <v>248</v>
      </c>
      <c r="L28" s="203" t="s">
        <v>249</v>
      </c>
      <c r="M28" s="203" t="s">
        <v>250</v>
      </c>
      <c r="N28" s="227" t="s">
        <v>269</v>
      </c>
      <c r="O28" s="203" t="s">
        <v>248</v>
      </c>
      <c r="P28" s="203" t="s">
        <v>249</v>
      </c>
      <c r="Q28" s="203" t="s">
        <v>250</v>
      </c>
    </row>
    <row r="29" spans="1:17" ht="12.75">
      <c r="A29" s="226" t="s">
        <v>6</v>
      </c>
      <c r="B29" s="367">
        <v>2105.1</v>
      </c>
      <c r="C29" s="367">
        <v>1382.5</v>
      </c>
      <c r="D29" s="367">
        <v>504.4</v>
      </c>
      <c r="E29" s="47">
        <f>B29+C29+D29</f>
        <v>3992</v>
      </c>
      <c r="F29" s="368">
        <v>2105.1</v>
      </c>
      <c r="G29" s="368">
        <v>130.2</v>
      </c>
      <c r="H29" s="368">
        <v>59.8</v>
      </c>
      <c r="I29" s="47">
        <f>F29+G29+H29</f>
        <v>2295.1</v>
      </c>
      <c r="J29" s="368">
        <f>B29-F29</f>
        <v>0</v>
      </c>
      <c r="K29" s="368">
        <f>C29-G29</f>
        <v>1252.3</v>
      </c>
      <c r="L29" s="368">
        <f>D29-H29</f>
        <v>444.59999999999997</v>
      </c>
      <c r="M29" s="369">
        <f>J29+K29+L29</f>
        <v>1696.8999999999999</v>
      </c>
      <c r="N29" s="53">
        <v>0</v>
      </c>
      <c r="O29" s="53">
        <v>0</v>
      </c>
      <c r="P29" s="53">
        <v>0</v>
      </c>
      <c r="Q29" s="47">
        <f>N29+O29+P29</f>
        <v>0</v>
      </c>
    </row>
    <row r="30" spans="1:17" ht="12.75">
      <c r="A30" s="226" t="s">
        <v>29</v>
      </c>
      <c r="B30" s="367">
        <v>1065.2</v>
      </c>
      <c r="C30" s="367">
        <v>176.2</v>
      </c>
      <c r="D30" s="367">
        <v>305.5</v>
      </c>
      <c r="E30" s="47">
        <f aca="true" t="shared" si="3" ref="E30:E36">B30+C30+D30</f>
        <v>1546.9</v>
      </c>
      <c r="F30" s="368">
        <v>502.6</v>
      </c>
      <c r="G30" s="368">
        <v>86.8</v>
      </c>
      <c r="H30" s="368">
        <v>23</v>
      </c>
      <c r="I30" s="47">
        <f aca="true" t="shared" si="4" ref="I30:I41">F30+G30+H30</f>
        <v>612.4</v>
      </c>
      <c r="J30" s="368">
        <f>B30-F30</f>
        <v>562.6</v>
      </c>
      <c r="K30" s="368">
        <f>C30-G30</f>
        <v>89.39999999999999</v>
      </c>
      <c r="L30" s="368">
        <f aca="true" t="shared" si="5" ref="K30:L41">D30-H30</f>
        <v>282.5</v>
      </c>
      <c r="M30" s="47">
        <f>J30+K30+L30</f>
        <v>934.5</v>
      </c>
      <c r="N30" s="53">
        <v>0</v>
      </c>
      <c r="O30" s="53">
        <v>0</v>
      </c>
      <c r="P30" s="53">
        <v>0</v>
      </c>
      <c r="Q30" s="47">
        <f aca="true" t="shared" si="6" ref="Q30:Q36">N30+O30+P30</f>
        <v>0</v>
      </c>
    </row>
    <row r="31" spans="1:17" ht="12.75">
      <c r="A31" s="226" t="s">
        <v>35</v>
      </c>
      <c r="B31" s="367">
        <v>96.1</v>
      </c>
      <c r="C31" s="367">
        <v>27.9</v>
      </c>
      <c r="D31" s="367">
        <v>255.9</v>
      </c>
      <c r="E31" s="47">
        <f t="shared" si="3"/>
        <v>379.9</v>
      </c>
      <c r="F31" s="368">
        <v>47.1</v>
      </c>
      <c r="G31" s="368">
        <v>65.1</v>
      </c>
      <c r="H31" s="368">
        <v>17.6</v>
      </c>
      <c r="I31" s="47">
        <f t="shared" si="4"/>
        <v>129.79999999999998</v>
      </c>
      <c r="J31" s="368">
        <f aca="true" t="shared" si="7" ref="J31:J41">B31-F31</f>
        <v>48.99999999999999</v>
      </c>
      <c r="K31" s="368">
        <f t="shared" si="5"/>
        <v>-37.199999999999996</v>
      </c>
      <c r="L31" s="368">
        <f t="shared" si="5"/>
        <v>238.3</v>
      </c>
      <c r="M31" s="47">
        <f aca="true" t="shared" si="8" ref="M31:M36">J31+K31+L31</f>
        <v>250.10000000000002</v>
      </c>
      <c r="N31" s="53">
        <v>0</v>
      </c>
      <c r="O31" s="53">
        <v>0</v>
      </c>
      <c r="P31" s="53">
        <v>0</v>
      </c>
      <c r="Q31" s="47">
        <f t="shared" si="6"/>
        <v>0</v>
      </c>
    </row>
    <row r="32" spans="1:17" ht="12.75">
      <c r="A32" s="226" t="s">
        <v>5</v>
      </c>
      <c r="B32" s="367">
        <v>951.1</v>
      </c>
      <c r="C32" s="367">
        <v>26.4</v>
      </c>
      <c r="D32" s="367">
        <v>15</v>
      </c>
      <c r="E32" s="47">
        <f t="shared" si="3"/>
        <v>992.5</v>
      </c>
      <c r="F32" s="368">
        <v>52.4</v>
      </c>
      <c r="G32" s="368">
        <v>17.7</v>
      </c>
      <c r="H32" s="368">
        <v>5.4</v>
      </c>
      <c r="I32" s="47">
        <f t="shared" si="4"/>
        <v>75.5</v>
      </c>
      <c r="J32" s="368">
        <f t="shared" si="7"/>
        <v>898.7</v>
      </c>
      <c r="K32" s="368">
        <f t="shared" si="5"/>
        <v>8.7</v>
      </c>
      <c r="L32" s="368">
        <f t="shared" si="5"/>
        <v>9.6</v>
      </c>
      <c r="M32" s="47">
        <f t="shared" si="8"/>
        <v>917.0000000000001</v>
      </c>
      <c r="N32" s="370">
        <v>0</v>
      </c>
      <c r="O32" s="370">
        <v>0</v>
      </c>
      <c r="P32" s="370">
        <v>0</v>
      </c>
      <c r="Q32" s="47">
        <f t="shared" si="6"/>
        <v>0</v>
      </c>
    </row>
    <row r="33" spans="1:17" ht="12.75">
      <c r="A33" s="226" t="s">
        <v>8</v>
      </c>
      <c r="B33" s="367">
        <v>6.6</v>
      </c>
      <c r="C33" s="367">
        <v>0</v>
      </c>
      <c r="D33" s="367">
        <v>54.8</v>
      </c>
      <c r="E33" s="47">
        <f t="shared" si="3"/>
        <v>61.4</v>
      </c>
      <c r="F33" s="368">
        <v>22.2</v>
      </c>
      <c r="G33" s="368">
        <v>16.9</v>
      </c>
      <c r="H33" s="368">
        <v>0.3</v>
      </c>
      <c r="I33" s="47">
        <f>F33+G33+H33</f>
        <v>39.39999999999999</v>
      </c>
      <c r="J33" s="368">
        <f t="shared" si="7"/>
        <v>-15.6</v>
      </c>
      <c r="K33" s="368">
        <f t="shared" si="5"/>
        <v>-16.9</v>
      </c>
      <c r="L33" s="368">
        <f>D33-H33</f>
        <v>54.5</v>
      </c>
      <c r="M33" s="47">
        <f t="shared" si="8"/>
        <v>22</v>
      </c>
      <c r="N33" s="370">
        <v>0</v>
      </c>
      <c r="O33" s="370">
        <v>0</v>
      </c>
      <c r="P33" s="370">
        <v>0</v>
      </c>
      <c r="Q33" s="47">
        <f t="shared" si="6"/>
        <v>0</v>
      </c>
    </row>
    <row r="34" spans="1:17" ht="12.75">
      <c r="A34" s="226" t="s">
        <v>36</v>
      </c>
      <c r="B34" s="367">
        <v>3.5</v>
      </c>
      <c r="C34" s="367">
        <v>0</v>
      </c>
      <c r="D34" s="367">
        <v>22.1</v>
      </c>
      <c r="E34" s="47">
        <f t="shared" si="3"/>
        <v>25.6</v>
      </c>
      <c r="F34" s="368">
        <v>18.6</v>
      </c>
      <c r="G34" s="368">
        <v>10</v>
      </c>
      <c r="H34" s="368">
        <v>0.2</v>
      </c>
      <c r="I34" s="47">
        <f t="shared" si="4"/>
        <v>28.8</v>
      </c>
      <c r="J34" s="368">
        <f t="shared" si="7"/>
        <v>-15.100000000000001</v>
      </c>
      <c r="K34" s="368">
        <f t="shared" si="5"/>
        <v>-10</v>
      </c>
      <c r="L34" s="368">
        <f t="shared" si="5"/>
        <v>21.900000000000002</v>
      </c>
      <c r="M34" s="47">
        <f t="shared" si="8"/>
        <v>-3.1999999999999993</v>
      </c>
      <c r="N34" s="370">
        <v>0</v>
      </c>
      <c r="O34" s="370">
        <v>0</v>
      </c>
      <c r="P34" s="370">
        <v>0</v>
      </c>
      <c r="Q34" s="47">
        <f t="shared" si="6"/>
        <v>0</v>
      </c>
    </row>
    <row r="35" spans="1:17" ht="12.75">
      <c r="A35" s="226" t="s">
        <v>37</v>
      </c>
      <c r="B35" s="367">
        <v>8.4</v>
      </c>
      <c r="C35" s="367">
        <v>0</v>
      </c>
      <c r="D35" s="367">
        <v>17</v>
      </c>
      <c r="E35" s="47">
        <f t="shared" si="3"/>
        <v>25.4</v>
      </c>
      <c r="F35" s="368">
        <v>2.2</v>
      </c>
      <c r="G35" s="368">
        <v>9.5</v>
      </c>
      <c r="H35" s="368">
        <v>0</v>
      </c>
      <c r="I35" s="47">
        <f t="shared" si="4"/>
        <v>11.7</v>
      </c>
      <c r="J35" s="368">
        <f t="shared" si="7"/>
        <v>6.2</v>
      </c>
      <c r="K35" s="368">
        <f t="shared" si="5"/>
        <v>-9.5</v>
      </c>
      <c r="L35" s="368">
        <f t="shared" si="5"/>
        <v>17</v>
      </c>
      <c r="M35" s="47">
        <f t="shared" si="8"/>
        <v>13.7</v>
      </c>
      <c r="N35" s="370">
        <v>0</v>
      </c>
      <c r="O35" s="370">
        <v>0</v>
      </c>
      <c r="P35" s="370">
        <v>0</v>
      </c>
      <c r="Q35" s="47">
        <f t="shared" si="6"/>
        <v>0</v>
      </c>
    </row>
    <row r="36" spans="1:17" ht="12.75">
      <c r="A36" s="24" t="s">
        <v>15</v>
      </c>
      <c r="B36" s="367">
        <v>800</v>
      </c>
      <c r="C36" s="367">
        <v>26.4</v>
      </c>
      <c r="D36" s="367">
        <v>0</v>
      </c>
      <c r="E36" s="47">
        <f t="shared" si="3"/>
        <v>826.4</v>
      </c>
      <c r="F36" s="368">
        <v>38.2</v>
      </c>
      <c r="G36" s="368">
        <v>0</v>
      </c>
      <c r="H36" s="368">
        <v>5.4</v>
      </c>
      <c r="I36" s="47">
        <f t="shared" si="4"/>
        <v>43.6</v>
      </c>
      <c r="J36" s="368">
        <f t="shared" si="7"/>
        <v>761.8</v>
      </c>
      <c r="K36" s="368">
        <f t="shared" si="5"/>
        <v>26.4</v>
      </c>
      <c r="L36" s="368">
        <f t="shared" si="5"/>
        <v>-5.4</v>
      </c>
      <c r="M36" s="47">
        <f t="shared" si="8"/>
        <v>782.8</v>
      </c>
      <c r="N36" s="370">
        <v>0</v>
      </c>
      <c r="O36" s="370">
        <v>0</v>
      </c>
      <c r="P36" s="370">
        <v>0</v>
      </c>
      <c r="Q36" s="47">
        <f t="shared" si="6"/>
        <v>0</v>
      </c>
    </row>
    <row r="37" spans="1:17" ht="12.75">
      <c r="A37" s="24" t="s">
        <v>45</v>
      </c>
      <c r="B37" s="367">
        <v>4.5</v>
      </c>
      <c r="C37" s="367">
        <v>0</v>
      </c>
      <c r="D37" s="367">
        <v>6.2</v>
      </c>
      <c r="E37" s="47">
        <f>B37+C37+D37</f>
        <v>10.7</v>
      </c>
      <c r="F37" s="368">
        <v>144.2</v>
      </c>
      <c r="G37" s="368">
        <v>0</v>
      </c>
      <c r="H37" s="368">
        <v>3.3</v>
      </c>
      <c r="I37" s="47">
        <f t="shared" si="4"/>
        <v>147.5</v>
      </c>
      <c r="J37" s="368">
        <f t="shared" si="7"/>
        <v>-139.7</v>
      </c>
      <c r="K37" s="368">
        <f t="shared" si="5"/>
        <v>0</v>
      </c>
      <c r="L37" s="368">
        <f t="shared" si="5"/>
        <v>2.9000000000000004</v>
      </c>
      <c r="M37" s="47">
        <f>J37+K37+L37</f>
        <v>-136.79999999999998</v>
      </c>
      <c r="N37" s="370">
        <v>0</v>
      </c>
      <c r="O37" s="370">
        <v>0</v>
      </c>
      <c r="P37" s="370">
        <v>0</v>
      </c>
      <c r="Q37" s="47">
        <f>N37+O37+P37</f>
        <v>0</v>
      </c>
    </row>
    <row r="38" spans="1:17" ht="12.75">
      <c r="A38" s="24" t="s">
        <v>127</v>
      </c>
      <c r="B38" s="367">
        <v>0.9</v>
      </c>
      <c r="C38" s="367">
        <v>0</v>
      </c>
      <c r="D38" s="367">
        <v>5.1</v>
      </c>
      <c r="E38" s="47">
        <f>B38+C38+D38</f>
        <v>6</v>
      </c>
      <c r="F38" s="368">
        <v>50.6</v>
      </c>
      <c r="G38" s="368">
        <v>0</v>
      </c>
      <c r="H38" s="368">
        <v>0</v>
      </c>
      <c r="I38" s="47">
        <f t="shared" si="4"/>
        <v>50.6</v>
      </c>
      <c r="J38" s="368">
        <f t="shared" si="7"/>
        <v>-49.7</v>
      </c>
      <c r="K38" s="368">
        <f t="shared" si="5"/>
        <v>0</v>
      </c>
      <c r="L38" s="368">
        <f t="shared" si="5"/>
        <v>5.1</v>
      </c>
      <c r="M38" s="47">
        <f>J38+K38+L38</f>
        <v>-44.6</v>
      </c>
      <c r="N38" s="370">
        <v>0</v>
      </c>
      <c r="O38" s="370">
        <v>0</v>
      </c>
      <c r="P38" s="370">
        <v>0</v>
      </c>
      <c r="Q38" s="47">
        <f>N38+O38+P38</f>
        <v>0</v>
      </c>
    </row>
    <row r="39" spans="1:17" ht="12.75">
      <c r="A39" s="24" t="s">
        <v>20</v>
      </c>
      <c r="B39" s="367">
        <v>151.7</v>
      </c>
      <c r="C39" s="367">
        <v>108.1</v>
      </c>
      <c r="D39" s="367">
        <v>26.3</v>
      </c>
      <c r="E39" s="47">
        <f>B39+C39+D39</f>
        <v>286.09999999999997</v>
      </c>
      <c r="F39" s="368">
        <v>710.6</v>
      </c>
      <c r="G39" s="368">
        <v>0.8</v>
      </c>
      <c r="H39" s="368">
        <v>0</v>
      </c>
      <c r="I39" s="47">
        <f t="shared" si="4"/>
        <v>711.4</v>
      </c>
      <c r="J39" s="368">
        <f t="shared" si="7"/>
        <v>-558.9000000000001</v>
      </c>
      <c r="K39" s="368">
        <f t="shared" si="5"/>
        <v>107.3</v>
      </c>
      <c r="L39" s="368">
        <f t="shared" si="5"/>
        <v>26.3</v>
      </c>
      <c r="M39" s="47">
        <f>J39+K39+L39</f>
        <v>-425.30000000000007</v>
      </c>
      <c r="N39" s="370">
        <v>0</v>
      </c>
      <c r="O39" s="370">
        <v>0</v>
      </c>
      <c r="P39" s="370">
        <v>0</v>
      </c>
      <c r="Q39" s="47">
        <f>N39+O39+P39</f>
        <v>0</v>
      </c>
    </row>
    <row r="40" spans="1:17" ht="12.75">
      <c r="A40" s="24" t="s">
        <v>11</v>
      </c>
      <c r="B40" s="367">
        <v>151.1</v>
      </c>
      <c r="C40" s="367">
        <v>0</v>
      </c>
      <c r="D40" s="367">
        <v>15</v>
      </c>
      <c r="E40" s="47">
        <f>B40+C40+D40</f>
        <v>166.1</v>
      </c>
      <c r="F40" s="368">
        <v>14.2</v>
      </c>
      <c r="G40" s="368">
        <v>17.7</v>
      </c>
      <c r="H40" s="368">
        <v>0</v>
      </c>
      <c r="I40" s="47">
        <f t="shared" si="4"/>
        <v>31.9</v>
      </c>
      <c r="J40" s="368">
        <f t="shared" si="7"/>
        <v>136.9</v>
      </c>
      <c r="K40" s="368">
        <f t="shared" si="5"/>
        <v>-17.7</v>
      </c>
      <c r="L40" s="368">
        <f t="shared" si="5"/>
        <v>15</v>
      </c>
      <c r="M40" s="47">
        <f>J40+K40+L40</f>
        <v>134.2</v>
      </c>
      <c r="N40" s="370">
        <v>0</v>
      </c>
      <c r="O40" s="370">
        <v>0</v>
      </c>
      <c r="P40" s="370">
        <v>0</v>
      </c>
      <c r="Q40" s="47">
        <f>N40+O40+P40</f>
        <v>0</v>
      </c>
    </row>
    <row r="41" spans="1:17" ht="12.75">
      <c r="A41" s="24" t="s">
        <v>10</v>
      </c>
      <c r="B41" s="367">
        <v>6</v>
      </c>
      <c r="C41" s="367">
        <v>1.3</v>
      </c>
      <c r="D41" s="367">
        <v>13.5</v>
      </c>
      <c r="E41" s="47">
        <f>B41+C41+D41</f>
        <v>20.8</v>
      </c>
      <c r="F41" s="368">
        <v>157.6</v>
      </c>
      <c r="G41" s="368">
        <v>0.1</v>
      </c>
      <c r="H41" s="368">
        <v>0</v>
      </c>
      <c r="I41" s="47">
        <f t="shared" si="4"/>
        <v>157.7</v>
      </c>
      <c r="J41" s="368">
        <f t="shared" si="7"/>
        <v>-151.6</v>
      </c>
      <c r="K41" s="368">
        <f>C41-G41</f>
        <v>1.2</v>
      </c>
      <c r="L41" s="368">
        <f t="shared" si="5"/>
        <v>13.5</v>
      </c>
      <c r="M41" s="47">
        <f>J41+K41+L41</f>
        <v>-136.9</v>
      </c>
      <c r="N41" s="370">
        <v>0</v>
      </c>
      <c r="O41" s="370">
        <v>0</v>
      </c>
      <c r="P41" s="370">
        <v>0</v>
      </c>
      <c r="Q41" s="47">
        <f>N41+O41+P41</f>
        <v>0</v>
      </c>
    </row>
    <row r="42" spans="1:17" ht="12.75">
      <c r="A42" s="9"/>
      <c r="B42" s="371"/>
      <c r="C42" s="372"/>
      <c r="D42" s="371"/>
      <c r="E42" s="373"/>
      <c r="F42" s="371"/>
      <c r="G42" s="372"/>
      <c r="H42" s="371"/>
      <c r="I42" s="373"/>
      <c r="J42" s="374"/>
      <c r="K42" s="374"/>
      <c r="L42" s="374"/>
      <c r="M42" s="373"/>
      <c r="N42" s="9"/>
      <c r="O42" s="9"/>
      <c r="P42" s="9"/>
      <c r="Q42" s="9"/>
    </row>
    <row r="43" spans="1:17" ht="15.75">
      <c r="A43" s="684" t="s">
        <v>253</v>
      </c>
      <c r="B43" s="684"/>
      <c r="C43" s="684"/>
      <c r="D43" s="371"/>
      <c r="E43" s="498" t="s">
        <v>24</v>
      </c>
      <c r="F43" s="371"/>
      <c r="G43" s="372"/>
      <c r="H43" s="371"/>
      <c r="I43" s="373"/>
      <c r="J43" s="374"/>
      <c r="K43" s="374"/>
      <c r="L43" s="374"/>
      <c r="M43" s="373"/>
      <c r="N43" s="9"/>
      <c r="O43" s="9"/>
      <c r="P43" s="9"/>
      <c r="Q43" s="7"/>
    </row>
    <row r="44" spans="1:18" ht="12.75">
      <c r="A44" s="683" t="s">
        <v>3</v>
      </c>
      <c r="B44" s="682" t="s">
        <v>270</v>
      </c>
      <c r="C44" s="682"/>
      <c r="D44" s="682"/>
      <c r="E44" s="682"/>
      <c r="F44" s="682" t="s">
        <v>271</v>
      </c>
      <c r="G44" s="682"/>
      <c r="H44" s="682"/>
      <c r="I44" s="682"/>
      <c r="J44" s="682" t="s">
        <v>272</v>
      </c>
      <c r="K44" s="682"/>
      <c r="L44" s="682"/>
      <c r="M44" s="682"/>
      <c r="N44" s="375"/>
      <c r="O44" s="376"/>
      <c r="P44" s="376"/>
      <c r="Q44" s="376"/>
      <c r="R44" s="363"/>
    </row>
    <row r="45" spans="1:17" ht="38.25">
      <c r="A45" s="683"/>
      <c r="B45" s="227" t="s">
        <v>269</v>
      </c>
      <c r="C45" s="203" t="s">
        <v>248</v>
      </c>
      <c r="D45" s="203" t="s">
        <v>249</v>
      </c>
      <c r="E45" s="203" t="s">
        <v>250</v>
      </c>
      <c r="F45" s="227" t="s">
        <v>269</v>
      </c>
      <c r="G45" s="203" t="s">
        <v>248</v>
      </c>
      <c r="H45" s="203" t="s">
        <v>249</v>
      </c>
      <c r="I45" s="203" t="s">
        <v>250</v>
      </c>
      <c r="J45" s="227" t="s">
        <v>269</v>
      </c>
      <c r="K45" s="203" t="s">
        <v>248</v>
      </c>
      <c r="L45" s="203" t="s">
        <v>249</v>
      </c>
      <c r="M45" s="203" t="s">
        <v>250</v>
      </c>
      <c r="N45" s="377"/>
      <c r="O45" s="19"/>
      <c r="P45" s="19"/>
      <c r="Q45" s="19"/>
    </row>
    <row r="46" spans="1:19" ht="12.75">
      <c r="A46" s="226" t="s">
        <v>6</v>
      </c>
      <c r="B46" s="368">
        <v>0</v>
      </c>
      <c r="C46" s="368">
        <v>0</v>
      </c>
      <c r="D46" s="368">
        <v>0</v>
      </c>
      <c r="E46" s="47">
        <f aca="true" t="shared" si="9" ref="E46:E53">B46+C46+D46</f>
        <v>0</v>
      </c>
      <c r="F46" s="368">
        <v>0</v>
      </c>
      <c r="G46" s="368">
        <v>1696.9</v>
      </c>
      <c r="H46" s="368">
        <v>0</v>
      </c>
      <c r="I46" s="47">
        <f aca="true" t="shared" si="10" ref="I46:I53">F46+G46+H46</f>
        <v>1696.9</v>
      </c>
      <c r="J46" s="367">
        <f aca="true" t="shared" si="11" ref="J46:L58">B46-F46</f>
        <v>0</v>
      </c>
      <c r="K46" s="368">
        <f>C46-G46</f>
        <v>-1696.9</v>
      </c>
      <c r="L46" s="368">
        <f t="shared" si="11"/>
        <v>0</v>
      </c>
      <c r="M46" s="369">
        <f>J46+K46+L46</f>
        <v>-1696.9</v>
      </c>
      <c r="N46" s="378" t="s">
        <v>24</v>
      </c>
      <c r="O46" s="379" t="s">
        <v>24</v>
      </c>
      <c r="P46" s="380"/>
      <c r="Q46" s="380"/>
      <c r="R46" s="381"/>
      <c r="S46" s="207"/>
    </row>
    <row r="47" spans="1:19" ht="12.75">
      <c r="A47" s="226" t="s">
        <v>29</v>
      </c>
      <c r="B47" s="368">
        <v>0</v>
      </c>
      <c r="C47" s="368">
        <v>0</v>
      </c>
      <c r="D47" s="368">
        <v>0</v>
      </c>
      <c r="E47" s="47">
        <f t="shared" si="9"/>
        <v>0</v>
      </c>
      <c r="F47" s="368">
        <v>0</v>
      </c>
      <c r="G47" s="368">
        <v>782.5</v>
      </c>
      <c r="H47" s="368">
        <v>0</v>
      </c>
      <c r="I47" s="47">
        <f t="shared" si="10"/>
        <v>782.5</v>
      </c>
      <c r="J47" s="368">
        <f t="shared" si="11"/>
        <v>0</v>
      </c>
      <c r="K47" s="368">
        <f>C47-G47</f>
        <v>-782.5</v>
      </c>
      <c r="L47" s="368">
        <f t="shared" si="11"/>
        <v>0</v>
      </c>
      <c r="M47" s="47">
        <f aca="true" t="shared" si="12" ref="M47:M53">J47+K47+L47</f>
        <v>-782.5</v>
      </c>
      <c r="N47" s="7"/>
      <c r="O47" s="9"/>
      <c r="P47" s="380"/>
      <c r="Q47" s="380"/>
      <c r="R47" s="206"/>
      <c r="S47" s="207"/>
    </row>
    <row r="48" spans="1:19" ht="12.75">
      <c r="A48" s="226" t="s">
        <v>35</v>
      </c>
      <c r="B48" s="368">
        <v>0</v>
      </c>
      <c r="C48" s="368">
        <v>0</v>
      </c>
      <c r="D48" s="368">
        <v>0</v>
      </c>
      <c r="E48" s="47">
        <f t="shared" si="9"/>
        <v>0</v>
      </c>
      <c r="F48" s="368">
        <v>0</v>
      </c>
      <c r="G48" s="368">
        <v>250.1</v>
      </c>
      <c r="H48" s="368">
        <v>0</v>
      </c>
      <c r="I48" s="47">
        <f t="shared" si="10"/>
        <v>250.1</v>
      </c>
      <c r="J48" s="368">
        <f t="shared" si="11"/>
        <v>0</v>
      </c>
      <c r="K48" s="368">
        <f t="shared" si="11"/>
        <v>-250.1</v>
      </c>
      <c r="L48" s="368">
        <f t="shared" si="11"/>
        <v>0</v>
      </c>
      <c r="M48" s="47">
        <f t="shared" si="12"/>
        <v>-250.1</v>
      </c>
      <c r="N48" s="7"/>
      <c r="O48" s="9"/>
      <c r="P48" s="380"/>
      <c r="Q48" s="9"/>
      <c r="R48" s="206"/>
      <c r="S48" s="207"/>
    </row>
    <row r="49" spans="1:19" ht="12.75">
      <c r="A49" s="226" t="s">
        <v>5</v>
      </c>
      <c r="B49" s="368">
        <v>0</v>
      </c>
      <c r="C49" s="368">
        <v>0</v>
      </c>
      <c r="D49" s="368">
        <v>0</v>
      </c>
      <c r="E49" s="47">
        <f t="shared" si="9"/>
        <v>0</v>
      </c>
      <c r="F49" s="368">
        <v>0</v>
      </c>
      <c r="G49" s="368">
        <v>303.1</v>
      </c>
      <c r="H49" s="368">
        <v>0</v>
      </c>
      <c r="I49" s="47">
        <f t="shared" si="10"/>
        <v>303.1</v>
      </c>
      <c r="J49" s="368">
        <f t="shared" si="11"/>
        <v>0</v>
      </c>
      <c r="K49" s="368">
        <f t="shared" si="11"/>
        <v>-303.1</v>
      </c>
      <c r="L49" s="368">
        <f t="shared" si="11"/>
        <v>0</v>
      </c>
      <c r="M49" s="47">
        <f t="shared" si="12"/>
        <v>-303.1</v>
      </c>
      <c r="N49" s="9"/>
      <c r="O49" s="9"/>
      <c r="P49" s="380"/>
      <c r="Q49" s="9"/>
      <c r="R49" s="206"/>
      <c r="S49" s="207"/>
    </row>
    <row r="50" spans="1:19" ht="12.75">
      <c r="A50" s="226" t="s">
        <v>8</v>
      </c>
      <c r="B50" s="368">
        <v>0</v>
      </c>
      <c r="C50" s="368">
        <v>0</v>
      </c>
      <c r="D50" s="368">
        <v>0</v>
      </c>
      <c r="E50" s="47">
        <f t="shared" si="9"/>
        <v>0</v>
      </c>
      <c r="F50" s="368">
        <v>0</v>
      </c>
      <c r="G50" s="368">
        <v>246.3</v>
      </c>
      <c r="H50" s="368">
        <v>0</v>
      </c>
      <c r="I50" s="47">
        <f t="shared" si="10"/>
        <v>246.3</v>
      </c>
      <c r="J50" s="368">
        <f t="shared" si="11"/>
        <v>0</v>
      </c>
      <c r="K50" s="368">
        <f t="shared" si="11"/>
        <v>-246.3</v>
      </c>
      <c r="L50" s="368">
        <f t="shared" si="11"/>
        <v>0</v>
      </c>
      <c r="M50" s="47">
        <f t="shared" si="12"/>
        <v>-246.3</v>
      </c>
      <c r="N50" s="9"/>
      <c r="O50" s="9"/>
      <c r="P50" s="380"/>
      <c r="Q50" s="9"/>
      <c r="R50" s="206"/>
      <c r="S50" s="207"/>
    </row>
    <row r="51" spans="1:17" ht="12.75">
      <c r="A51" s="226" t="s">
        <v>36</v>
      </c>
      <c r="B51" s="368">
        <v>0</v>
      </c>
      <c r="C51" s="368">
        <v>0</v>
      </c>
      <c r="D51" s="368">
        <v>0</v>
      </c>
      <c r="E51" s="47">
        <f t="shared" si="9"/>
        <v>0</v>
      </c>
      <c r="F51" s="368">
        <v>0</v>
      </c>
      <c r="G51" s="368">
        <v>227.3</v>
      </c>
      <c r="H51" s="368">
        <v>0</v>
      </c>
      <c r="I51" s="47">
        <f t="shared" si="10"/>
        <v>227.3</v>
      </c>
      <c r="J51" s="368">
        <f t="shared" si="11"/>
        <v>0</v>
      </c>
      <c r="K51" s="368">
        <f t="shared" si="11"/>
        <v>-227.3</v>
      </c>
      <c r="L51" s="368">
        <f t="shared" si="11"/>
        <v>0</v>
      </c>
      <c r="M51" s="47">
        <f t="shared" si="12"/>
        <v>-227.3</v>
      </c>
      <c r="N51" s="9"/>
      <c r="O51" s="380"/>
      <c r="P51" s="9"/>
      <c r="Q51" s="9"/>
    </row>
    <row r="52" spans="1:17" ht="12.75">
      <c r="A52" s="226" t="s">
        <v>37</v>
      </c>
      <c r="B52" s="368">
        <v>0</v>
      </c>
      <c r="C52" s="368">
        <v>0</v>
      </c>
      <c r="D52" s="368">
        <v>0</v>
      </c>
      <c r="E52" s="47">
        <f t="shared" si="9"/>
        <v>0</v>
      </c>
      <c r="F52" s="368">
        <v>0</v>
      </c>
      <c r="G52" s="368">
        <v>0</v>
      </c>
      <c r="H52" s="368">
        <v>0</v>
      </c>
      <c r="I52" s="47">
        <f t="shared" si="10"/>
        <v>0</v>
      </c>
      <c r="J52" s="368">
        <f t="shared" si="11"/>
        <v>0</v>
      </c>
      <c r="K52" s="368">
        <f t="shared" si="11"/>
        <v>0</v>
      </c>
      <c r="L52" s="368">
        <f t="shared" si="11"/>
        <v>0</v>
      </c>
      <c r="M52" s="47">
        <f t="shared" si="12"/>
        <v>0</v>
      </c>
      <c r="N52" s="9"/>
      <c r="O52" s="9"/>
      <c r="P52" s="9"/>
      <c r="Q52" s="9"/>
    </row>
    <row r="53" spans="1:17" ht="12.75">
      <c r="A53" s="24" t="s">
        <v>15</v>
      </c>
      <c r="B53" s="368">
        <v>0</v>
      </c>
      <c r="C53" s="368">
        <v>0</v>
      </c>
      <c r="D53" s="368">
        <v>0</v>
      </c>
      <c r="E53" s="47">
        <f t="shared" si="9"/>
        <v>0</v>
      </c>
      <c r="F53" s="368">
        <v>0</v>
      </c>
      <c r="G53" s="368">
        <v>0</v>
      </c>
      <c r="H53" s="368">
        <v>0</v>
      </c>
      <c r="I53" s="47">
        <f t="shared" si="10"/>
        <v>0</v>
      </c>
      <c r="J53" s="368">
        <f t="shared" si="11"/>
        <v>0</v>
      </c>
      <c r="K53" s="368">
        <f t="shared" si="11"/>
        <v>0</v>
      </c>
      <c r="L53" s="368">
        <f t="shared" si="11"/>
        <v>0</v>
      </c>
      <c r="M53" s="47">
        <f t="shared" si="12"/>
        <v>0</v>
      </c>
      <c r="N53" s="9"/>
      <c r="O53" s="382"/>
      <c r="P53" s="383"/>
      <c r="Q53" s="384"/>
    </row>
    <row r="54" spans="1:17" ht="12.75">
      <c r="A54" s="24" t="s">
        <v>45</v>
      </c>
      <c r="B54" s="368">
        <v>0</v>
      </c>
      <c r="C54" s="368">
        <v>0</v>
      </c>
      <c r="D54" s="368">
        <v>0</v>
      </c>
      <c r="E54" s="47">
        <f>B54+C54+D54</f>
        <v>0</v>
      </c>
      <c r="F54" s="368">
        <v>0</v>
      </c>
      <c r="G54" s="368">
        <v>0</v>
      </c>
      <c r="H54" s="368">
        <v>0</v>
      </c>
      <c r="I54" s="47">
        <f>F54+G54+H54</f>
        <v>0</v>
      </c>
      <c r="J54" s="368">
        <f t="shared" si="11"/>
        <v>0</v>
      </c>
      <c r="K54" s="368">
        <f t="shared" si="11"/>
        <v>0</v>
      </c>
      <c r="L54" s="368">
        <f t="shared" si="11"/>
        <v>0</v>
      </c>
      <c r="M54" s="47">
        <f>J54+K54+L54</f>
        <v>0</v>
      </c>
      <c r="N54" s="9"/>
      <c r="O54" s="382"/>
      <c r="P54" s="383"/>
      <c r="Q54" s="384"/>
    </row>
    <row r="55" spans="1:17" ht="12.75">
      <c r="A55" s="24" t="s">
        <v>127</v>
      </c>
      <c r="B55" s="368">
        <v>0</v>
      </c>
      <c r="C55" s="368">
        <v>0</v>
      </c>
      <c r="D55" s="368">
        <v>0</v>
      </c>
      <c r="E55" s="47">
        <f>B55+C55+D55</f>
        <v>0</v>
      </c>
      <c r="F55" s="368">
        <v>0</v>
      </c>
      <c r="G55" s="368">
        <v>0</v>
      </c>
      <c r="H55" s="368">
        <v>0</v>
      </c>
      <c r="I55" s="47">
        <f>F55+G55+H55</f>
        <v>0</v>
      </c>
      <c r="J55" s="368">
        <f t="shared" si="11"/>
        <v>0</v>
      </c>
      <c r="K55" s="368">
        <f t="shared" si="11"/>
        <v>0</v>
      </c>
      <c r="L55" s="368">
        <f t="shared" si="11"/>
        <v>0</v>
      </c>
      <c r="M55" s="47">
        <f>J55+K55+L55</f>
        <v>0</v>
      </c>
      <c r="N55" s="9"/>
      <c r="O55" s="382"/>
      <c r="P55" s="383"/>
      <c r="Q55" s="384"/>
    </row>
    <row r="56" spans="1:17" ht="12.75">
      <c r="A56" s="24" t="s">
        <v>20</v>
      </c>
      <c r="B56" s="368">
        <v>0</v>
      </c>
      <c r="C56" s="368">
        <v>0</v>
      </c>
      <c r="D56" s="368">
        <v>0</v>
      </c>
      <c r="E56" s="47">
        <f>B56+C56+D56</f>
        <v>0</v>
      </c>
      <c r="F56" s="368">
        <v>0</v>
      </c>
      <c r="G56" s="368">
        <v>0</v>
      </c>
      <c r="H56" s="368">
        <v>0</v>
      </c>
      <c r="I56" s="47">
        <f>F56+G56+H56</f>
        <v>0</v>
      </c>
      <c r="J56" s="368">
        <f t="shared" si="11"/>
        <v>0</v>
      </c>
      <c r="K56" s="368">
        <f t="shared" si="11"/>
        <v>0</v>
      </c>
      <c r="L56" s="368">
        <f t="shared" si="11"/>
        <v>0</v>
      </c>
      <c r="M56" s="47">
        <f>J56+K56+L56</f>
        <v>0</v>
      </c>
      <c r="N56" s="9"/>
      <c r="O56" s="382"/>
      <c r="P56" s="383"/>
      <c r="Q56" s="384"/>
    </row>
    <row r="57" spans="1:17" ht="12.75">
      <c r="A57" s="24" t="s">
        <v>11</v>
      </c>
      <c r="B57" s="368">
        <v>0</v>
      </c>
      <c r="C57" s="368">
        <v>0</v>
      </c>
      <c r="D57" s="368">
        <v>0</v>
      </c>
      <c r="E57" s="47">
        <f>B57+C57+D57</f>
        <v>0</v>
      </c>
      <c r="F57" s="368">
        <v>0</v>
      </c>
      <c r="G57" s="368">
        <v>243.1</v>
      </c>
      <c r="H57" s="368">
        <v>0</v>
      </c>
      <c r="I57" s="47">
        <f>F57+G57+H57</f>
        <v>243.1</v>
      </c>
      <c r="J57" s="368">
        <f t="shared" si="11"/>
        <v>0</v>
      </c>
      <c r="K57" s="368">
        <f t="shared" si="11"/>
        <v>-243.1</v>
      </c>
      <c r="L57" s="368">
        <f t="shared" si="11"/>
        <v>0</v>
      </c>
      <c r="M57" s="47">
        <f>J57+K57+L57</f>
        <v>-243.1</v>
      </c>
      <c r="N57" s="9"/>
      <c r="O57" s="382"/>
      <c r="P57" s="383"/>
      <c r="Q57" s="384"/>
    </row>
    <row r="58" spans="1:17" ht="12.75">
      <c r="A58" s="24" t="s">
        <v>10</v>
      </c>
      <c r="B58" s="368">
        <v>0</v>
      </c>
      <c r="C58" s="368">
        <v>0</v>
      </c>
      <c r="D58" s="368">
        <v>0</v>
      </c>
      <c r="E58" s="47">
        <f>B58+C58+D58</f>
        <v>0</v>
      </c>
      <c r="F58" s="368">
        <v>0</v>
      </c>
      <c r="G58" s="368">
        <v>117.3</v>
      </c>
      <c r="H58" s="368">
        <v>0</v>
      </c>
      <c r="I58" s="47">
        <f>F58+G58+H58</f>
        <v>117.3</v>
      </c>
      <c r="J58" s="368">
        <f t="shared" si="11"/>
        <v>0</v>
      </c>
      <c r="K58" s="368">
        <f t="shared" si="11"/>
        <v>-117.3</v>
      </c>
      <c r="L58" s="368">
        <f t="shared" si="11"/>
        <v>0</v>
      </c>
      <c r="M58" s="47">
        <f>J58+K58+L58</f>
        <v>-117.3</v>
      </c>
      <c r="N58" s="9"/>
      <c r="O58" s="382"/>
      <c r="P58" s="383"/>
      <c r="Q58" s="384"/>
    </row>
    <row r="59" spans="1:17" ht="12.75">
      <c r="A59" s="9"/>
      <c r="B59" s="371"/>
      <c r="C59" s="372"/>
      <c r="D59" s="371"/>
      <c r="E59" s="373"/>
      <c r="F59" s="371"/>
      <c r="G59" s="372"/>
      <c r="H59" s="371"/>
      <c r="I59" s="373"/>
      <c r="J59" s="374"/>
      <c r="K59" s="374"/>
      <c r="L59" s="374"/>
      <c r="M59" s="373"/>
      <c r="N59" s="9"/>
      <c r="O59" s="9"/>
      <c r="P59" s="9"/>
      <c r="Q59" s="7"/>
    </row>
    <row r="60" spans="1:10" ht="15.75">
      <c r="A60" s="679" t="s">
        <v>273</v>
      </c>
      <c r="B60" s="679"/>
      <c r="C60" s="364"/>
      <c r="D60" s="364"/>
      <c r="E60" s="365"/>
      <c r="F60" s="366"/>
      <c r="G60" s="366"/>
      <c r="H60" s="366"/>
      <c r="I60" s="363"/>
      <c r="J60" s="363"/>
    </row>
    <row r="61" spans="1:25" ht="12.75">
      <c r="A61" s="683" t="s">
        <v>3</v>
      </c>
      <c r="B61" s="682" t="s">
        <v>266</v>
      </c>
      <c r="C61" s="682"/>
      <c r="D61" s="682"/>
      <c r="E61" s="682"/>
      <c r="F61" s="682" t="s">
        <v>245</v>
      </c>
      <c r="G61" s="682"/>
      <c r="H61" s="682"/>
      <c r="I61" s="682"/>
      <c r="J61" s="682" t="s">
        <v>267</v>
      </c>
      <c r="K61" s="682"/>
      <c r="L61" s="682"/>
      <c r="M61" s="682"/>
      <c r="N61" s="678" t="s">
        <v>274</v>
      </c>
      <c r="O61" s="678"/>
      <c r="P61" s="678"/>
      <c r="Q61" s="678"/>
      <c r="R61" s="678" t="s">
        <v>275</v>
      </c>
      <c r="S61" s="678"/>
      <c r="T61" s="678"/>
      <c r="U61" s="678"/>
      <c r="V61" s="678" t="s">
        <v>276</v>
      </c>
      <c r="W61" s="678"/>
      <c r="X61" s="678"/>
      <c r="Y61" s="678"/>
    </row>
    <row r="62" spans="1:25" ht="38.25">
      <c r="A62" s="683"/>
      <c r="B62" s="227" t="s">
        <v>269</v>
      </c>
      <c r="C62" s="203" t="s">
        <v>248</v>
      </c>
      <c r="D62" s="203" t="s">
        <v>249</v>
      </c>
      <c r="E62" s="203" t="s">
        <v>250</v>
      </c>
      <c r="F62" s="227" t="s">
        <v>269</v>
      </c>
      <c r="G62" s="203" t="s">
        <v>248</v>
      </c>
      <c r="H62" s="203" t="s">
        <v>249</v>
      </c>
      <c r="I62" s="203" t="s">
        <v>250</v>
      </c>
      <c r="J62" s="227" t="s">
        <v>269</v>
      </c>
      <c r="K62" s="203" t="s">
        <v>248</v>
      </c>
      <c r="L62" s="203" t="s">
        <v>249</v>
      </c>
      <c r="M62" s="203" t="s">
        <v>250</v>
      </c>
      <c r="N62" s="227" t="s">
        <v>269</v>
      </c>
      <c r="O62" s="203" t="s">
        <v>248</v>
      </c>
      <c r="P62" s="203" t="s">
        <v>249</v>
      </c>
      <c r="Q62" s="203" t="s">
        <v>250</v>
      </c>
      <c r="R62" s="227" t="s">
        <v>269</v>
      </c>
      <c r="S62" s="203" t="s">
        <v>248</v>
      </c>
      <c r="T62" s="203" t="s">
        <v>249</v>
      </c>
      <c r="U62" s="203" t="s">
        <v>250</v>
      </c>
      <c r="V62" s="227" t="s">
        <v>269</v>
      </c>
      <c r="W62" s="203" t="s">
        <v>248</v>
      </c>
      <c r="X62" s="203" t="s">
        <v>249</v>
      </c>
      <c r="Y62" s="203" t="s">
        <v>250</v>
      </c>
    </row>
    <row r="63" spans="1:25" ht="12.75">
      <c r="A63" s="226" t="s">
        <v>46</v>
      </c>
      <c r="B63" s="52">
        <f>B29-B30-B37-B39</f>
        <v>883.6999999999998</v>
      </c>
      <c r="C63" s="52">
        <f>C29-C30-C37-C39</f>
        <v>1098.2</v>
      </c>
      <c r="D63" s="52">
        <f>D29-D30-D37-D39</f>
        <v>166.39999999999998</v>
      </c>
      <c r="E63" s="53">
        <f aca="true" t="shared" si="13" ref="E63:E75">B63+C63+D63</f>
        <v>2148.2999999999997</v>
      </c>
      <c r="F63" s="52">
        <f>F29-F30-F37-F39</f>
        <v>747.6999999999999</v>
      </c>
      <c r="G63" s="52">
        <f>G29-G30-G37-G39</f>
        <v>42.599999999999994</v>
      </c>
      <c r="H63" s="52">
        <f>H29-H30-H37-H39</f>
        <v>33.5</v>
      </c>
      <c r="I63" s="53">
        <f aca="true" t="shared" si="14" ref="I63:I75">F63+G63+H63</f>
        <v>823.8</v>
      </c>
      <c r="J63" s="385">
        <f>B63-F63</f>
        <v>135.9999999999999</v>
      </c>
      <c r="K63" s="385">
        <f>C63-G63</f>
        <v>1055.6000000000001</v>
      </c>
      <c r="L63" s="385">
        <f>D63-H63</f>
        <v>132.89999999999998</v>
      </c>
      <c r="M63" s="47">
        <f>J63+K63+L63</f>
        <v>1324.5</v>
      </c>
      <c r="N63" s="54">
        <f>B63*D5</f>
        <v>45360.32099999999</v>
      </c>
      <c r="O63" s="54">
        <f aca="true" t="shared" si="15" ref="O63:O75">C63*F5</f>
        <v>16473</v>
      </c>
      <c r="P63" s="54">
        <f>D63*H5</f>
        <v>2495.9999999999995</v>
      </c>
      <c r="Q63" s="54">
        <f aca="true" t="shared" si="16" ref="Q63:Q75">N63+O63+P63</f>
        <v>64329.32099999999</v>
      </c>
      <c r="R63" s="54">
        <f>F63*D5</f>
        <v>38379.44099999999</v>
      </c>
      <c r="S63" s="54">
        <f aca="true" t="shared" si="17" ref="S63:S75">G63*F5</f>
        <v>638.9999999999999</v>
      </c>
      <c r="T63" s="54">
        <f aca="true" t="shared" si="18" ref="T63:T75">H63*H5</f>
        <v>502.5</v>
      </c>
      <c r="U63" s="54">
        <f>R63+S63+T63</f>
        <v>39520.94099999999</v>
      </c>
      <c r="V63" s="386">
        <f>N63-R63</f>
        <v>6980.879999999997</v>
      </c>
      <c r="W63" s="386">
        <f>O63-S63</f>
        <v>15834</v>
      </c>
      <c r="X63" s="386">
        <f>P63-T63</f>
        <v>1993.4999999999995</v>
      </c>
      <c r="Y63" s="386">
        <f aca="true" t="shared" si="19" ref="Y63:Y72">V63+W63+X63</f>
        <v>24808.379999999997</v>
      </c>
    </row>
    <row r="64" spans="1:25" ht="12.75">
      <c r="A64" s="226" t="s">
        <v>49</v>
      </c>
      <c r="B64" s="52">
        <f>B30-B31-B32-B41</f>
        <v>12</v>
      </c>
      <c r="C64" s="52">
        <f>C30-C31-C32-C41</f>
        <v>120.59999999999998</v>
      </c>
      <c r="D64" s="52">
        <f>D30-D31-D32-D41</f>
        <v>21.099999999999994</v>
      </c>
      <c r="E64" s="53">
        <f t="shared" si="13"/>
        <v>153.69999999999996</v>
      </c>
      <c r="F64" s="52">
        <f>F30-F31-F32-F41</f>
        <v>245.50000000000003</v>
      </c>
      <c r="G64" s="52">
        <f>G30-G31-G32-G41</f>
        <v>3.9000000000000035</v>
      </c>
      <c r="H64" s="52">
        <f>H30-H31-H32-H41</f>
        <v>-1.7763568394002505E-15</v>
      </c>
      <c r="I64" s="53">
        <f t="shared" si="14"/>
        <v>249.40000000000003</v>
      </c>
      <c r="J64" s="385">
        <f aca="true" t="shared" si="20" ref="J64:L75">B64-F64</f>
        <v>-233.50000000000003</v>
      </c>
      <c r="K64" s="385">
        <f t="shared" si="20"/>
        <v>116.69999999999997</v>
      </c>
      <c r="L64" s="385">
        <f t="shared" si="20"/>
        <v>21.099999999999994</v>
      </c>
      <c r="M64" s="47">
        <f aca="true" t="shared" si="21" ref="M64:M72">J64+K64+L64</f>
        <v>-95.70000000000006</v>
      </c>
      <c r="N64" s="54">
        <f aca="true" t="shared" si="22" ref="N64:N74">B64*D6</f>
        <v>615.96</v>
      </c>
      <c r="O64" s="54">
        <f t="shared" si="15"/>
        <v>1808.9999999999998</v>
      </c>
      <c r="P64" s="54">
        <f aca="true" t="shared" si="23" ref="P64:P75">D64*H6</f>
        <v>316.4999999999999</v>
      </c>
      <c r="Q64" s="54">
        <f t="shared" si="16"/>
        <v>2741.46</v>
      </c>
      <c r="R64" s="54">
        <f>F64*D6</f>
        <v>12601.515000000001</v>
      </c>
      <c r="S64" s="54">
        <f t="shared" si="17"/>
        <v>58.50000000000005</v>
      </c>
      <c r="T64" s="54">
        <f t="shared" si="18"/>
        <v>-2.6645352591003757E-14</v>
      </c>
      <c r="U64" s="54">
        <f aca="true" t="shared" si="24" ref="U64:U75">R64+S64+T64</f>
        <v>12660.015000000001</v>
      </c>
      <c r="V64" s="386">
        <f>N64-R64</f>
        <v>-11985.555</v>
      </c>
      <c r="W64" s="386">
        <f aca="true" t="shared" si="25" ref="V64:X75">O64-S64</f>
        <v>1750.4999999999998</v>
      </c>
      <c r="X64" s="386">
        <f t="shared" si="25"/>
        <v>316.4999999999999</v>
      </c>
      <c r="Y64" s="386">
        <f t="shared" si="19"/>
        <v>-9918.555</v>
      </c>
    </row>
    <row r="65" spans="1:25" ht="12.75">
      <c r="A65" s="226" t="s">
        <v>48</v>
      </c>
      <c r="B65" s="52">
        <f>B31-B33-B35</f>
        <v>81.1</v>
      </c>
      <c r="C65" s="52">
        <f>C31-C33-C35</f>
        <v>27.9</v>
      </c>
      <c r="D65" s="52">
        <f>D31-D33-D35</f>
        <v>184.10000000000002</v>
      </c>
      <c r="E65" s="53">
        <f t="shared" si="13"/>
        <v>293.1</v>
      </c>
      <c r="F65" s="52">
        <f>F31-F33-F35</f>
        <v>22.700000000000003</v>
      </c>
      <c r="G65" s="52">
        <f>G31-G33-G35</f>
        <v>38.699999999999996</v>
      </c>
      <c r="H65" s="52">
        <f>H31-H33-H35</f>
        <v>17.3</v>
      </c>
      <c r="I65" s="53">
        <f t="shared" si="14"/>
        <v>78.7</v>
      </c>
      <c r="J65" s="385">
        <f t="shared" si="20"/>
        <v>58.39999999999999</v>
      </c>
      <c r="K65" s="385">
        <f t="shared" si="20"/>
        <v>-10.799999999999997</v>
      </c>
      <c r="L65" s="385">
        <f t="shared" si="20"/>
        <v>166.8</v>
      </c>
      <c r="M65" s="47">
        <f t="shared" si="21"/>
        <v>214.4</v>
      </c>
      <c r="N65" s="54">
        <f t="shared" si="22"/>
        <v>4748.405</v>
      </c>
      <c r="O65" s="54">
        <f t="shared" si="15"/>
        <v>619.938</v>
      </c>
      <c r="P65" s="54">
        <f t="shared" si="23"/>
        <v>4090.702</v>
      </c>
      <c r="Q65" s="54">
        <f t="shared" si="16"/>
        <v>9459.045</v>
      </c>
      <c r="R65" s="54">
        <f aca="true" t="shared" si="26" ref="R65:R75">F65*D7</f>
        <v>1329.085</v>
      </c>
      <c r="S65" s="54">
        <f t="shared" si="17"/>
        <v>859.9139999999999</v>
      </c>
      <c r="T65" s="54">
        <f t="shared" si="18"/>
        <v>384.406</v>
      </c>
      <c r="U65" s="54">
        <f t="shared" si="24"/>
        <v>2573.4049999999997</v>
      </c>
      <c r="V65" s="386">
        <f>N65-R65</f>
        <v>3419.3199999999997</v>
      </c>
      <c r="W65" s="386">
        <f t="shared" si="25"/>
        <v>-239.97599999999989</v>
      </c>
      <c r="X65" s="386">
        <f t="shared" si="25"/>
        <v>3706.2960000000003</v>
      </c>
      <c r="Y65" s="386">
        <f t="shared" si="19"/>
        <v>6885.64</v>
      </c>
    </row>
    <row r="66" spans="1:25" ht="12.75">
      <c r="A66" s="226" t="s">
        <v>47</v>
      </c>
      <c r="B66" s="52">
        <f>B32-B36-B40</f>
        <v>0</v>
      </c>
      <c r="C66" s="52">
        <f>C32-C36-C40</f>
        <v>0</v>
      </c>
      <c r="D66" s="52">
        <f>D32-D36-D40</f>
        <v>0</v>
      </c>
      <c r="E66" s="53">
        <f t="shared" si="13"/>
        <v>0</v>
      </c>
      <c r="F66" s="52">
        <f>F32-F36-F40</f>
        <v>0</v>
      </c>
      <c r="G66" s="52">
        <f>G32-G36-G40</f>
        <v>0</v>
      </c>
      <c r="H66" s="52">
        <f>H32-H36-H40</f>
        <v>0</v>
      </c>
      <c r="I66" s="53">
        <f t="shared" si="14"/>
        <v>0</v>
      </c>
      <c r="J66" s="385">
        <f t="shared" si="20"/>
        <v>0</v>
      </c>
      <c r="K66" s="385">
        <f t="shared" si="20"/>
        <v>0</v>
      </c>
      <c r="L66" s="385">
        <f t="shared" si="20"/>
        <v>0</v>
      </c>
      <c r="M66" s="47">
        <f t="shared" si="21"/>
        <v>0</v>
      </c>
      <c r="N66" s="54">
        <f t="shared" si="22"/>
        <v>0</v>
      </c>
      <c r="O66" s="54">
        <f t="shared" si="15"/>
        <v>0</v>
      </c>
      <c r="P66" s="54">
        <f t="shared" si="23"/>
        <v>0</v>
      </c>
      <c r="Q66" s="54">
        <f t="shared" si="16"/>
        <v>0</v>
      </c>
      <c r="R66" s="54">
        <f t="shared" si="26"/>
        <v>0</v>
      </c>
      <c r="S66" s="54">
        <f t="shared" si="17"/>
        <v>0</v>
      </c>
      <c r="T66" s="54">
        <f t="shared" si="18"/>
        <v>0</v>
      </c>
      <c r="U66" s="54">
        <f t="shared" si="24"/>
        <v>0</v>
      </c>
      <c r="V66" s="386">
        <f t="shared" si="25"/>
        <v>0</v>
      </c>
      <c r="W66" s="386">
        <f t="shared" si="25"/>
        <v>0</v>
      </c>
      <c r="X66" s="386">
        <f t="shared" si="25"/>
        <v>0</v>
      </c>
      <c r="Y66" s="386">
        <f t="shared" si="19"/>
        <v>0</v>
      </c>
    </row>
    <row r="67" spans="1:25" ht="12.75">
      <c r="A67" s="226" t="s">
        <v>39</v>
      </c>
      <c r="B67" s="52">
        <f>B33-B34</f>
        <v>3.0999999999999996</v>
      </c>
      <c r="C67" s="52">
        <f>C33-C34</f>
        <v>0</v>
      </c>
      <c r="D67" s="52">
        <f>D33-D34</f>
        <v>32.699999999999996</v>
      </c>
      <c r="E67" s="53">
        <f t="shared" si="13"/>
        <v>35.8</v>
      </c>
      <c r="F67" s="52">
        <f>F33-F34</f>
        <v>3.599999999999998</v>
      </c>
      <c r="G67" s="52">
        <f>G33-G34</f>
        <v>6.899999999999999</v>
      </c>
      <c r="H67" s="52">
        <f>H33-H34</f>
        <v>0.09999999999999998</v>
      </c>
      <c r="I67" s="53">
        <f t="shared" si="14"/>
        <v>10.599999999999996</v>
      </c>
      <c r="J67" s="385">
        <f t="shared" si="20"/>
        <v>-0.4999999999999982</v>
      </c>
      <c r="K67" s="385">
        <f t="shared" si="20"/>
        <v>-6.899999999999999</v>
      </c>
      <c r="L67" s="385">
        <f t="shared" si="20"/>
        <v>32.599999999999994</v>
      </c>
      <c r="M67" s="47">
        <f t="shared" si="21"/>
        <v>25.199999999999996</v>
      </c>
      <c r="N67" s="54">
        <f t="shared" si="22"/>
        <v>181.50499999999997</v>
      </c>
      <c r="O67" s="54">
        <f t="shared" si="15"/>
        <v>0</v>
      </c>
      <c r="P67" s="54">
        <f t="shared" si="23"/>
        <v>726.5939999999998</v>
      </c>
      <c r="Q67" s="54">
        <f t="shared" si="16"/>
        <v>908.0989999999998</v>
      </c>
      <c r="R67" s="54">
        <f t="shared" si="26"/>
        <v>210.77999999999986</v>
      </c>
      <c r="S67" s="54">
        <f t="shared" si="17"/>
        <v>153.31799999999996</v>
      </c>
      <c r="T67" s="54">
        <f t="shared" si="18"/>
        <v>2.2219999999999995</v>
      </c>
      <c r="U67" s="54">
        <f t="shared" si="24"/>
        <v>366.3199999999998</v>
      </c>
      <c r="V67" s="386">
        <f t="shared" si="25"/>
        <v>-29.274999999999892</v>
      </c>
      <c r="W67" s="386">
        <f t="shared" si="25"/>
        <v>-153.31799999999996</v>
      </c>
      <c r="X67" s="386">
        <f t="shared" si="25"/>
        <v>724.3719999999998</v>
      </c>
      <c r="Y67" s="386">
        <f t="shared" si="19"/>
        <v>541.779</v>
      </c>
    </row>
    <row r="68" spans="1:25" ht="12.75">
      <c r="A68" s="226" t="s">
        <v>36</v>
      </c>
      <c r="B68" s="52">
        <f aca="true" t="shared" si="27" ref="B68:D70">B34</f>
        <v>3.5</v>
      </c>
      <c r="C68" s="52">
        <f t="shared" si="27"/>
        <v>0</v>
      </c>
      <c r="D68" s="52">
        <f t="shared" si="27"/>
        <v>22.1</v>
      </c>
      <c r="E68" s="53">
        <f t="shared" si="13"/>
        <v>25.6</v>
      </c>
      <c r="F68" s="52">
        <f aca="true" t="shared" si="28" ref="F68:H70">F34</f>
        <v>18.6</v>
      </c>
      <c r="G68" s="52">
        <f t="shared" si="28"/>
        <v>10</v>
      </c>
      <c r="H68" s="52">
        <f t="shared" si="28"/>
        <v>0.2</v>
      </c>
      <c r="I68" s="53">
        <f t="shared" si="14"/>
        <v>28.8</v>
      </c>
      <c r="J68" s="385">
        <f t="shared" si="20"/>
        <v>-15.100000000000001</v>
      </c>
      <c r="K68" s="385">
        <f t="shared" si="20"/>
        <v>-10</v>
      </c>
      <c r="L68" s="385">
        <f t="shared" si="20"/>
        <v>21.900000000000002</v>
      </c>
      <c r="M68" s="47">
        <f t="shared" si="21"/>
        <v>-3.1999999999999993</v>
      </c>
      <c r="N68" s="54">
        <f t="shared" si="22"/>
        <v>204.92499999999998</v>
      </c>
      <c r="O68" s="54">
        <f t="shared" si="15"/>
        <v>0</v>
      </c>
      <c r="P68" s="54">
        <f t="shared" si="23"/>
        <v>491.062</v>
      </c>
      <c r="Q68" s="54">
        <f t="shared" si="16"/>
        <v>695.987</v>
      </c>
      <c r="R68" s="54">
        <f t="shared" si="26"/>
        <v>1089.03</v>
      </c>
      <c r="S68" s="54">
        <f t="shared" si="17"/>
        <v>222.2</v>
      </c>
      <c r="T68" s="54">
        <f t="shared" si="18"/>
        <v>4.444</v>
      </c>
      <c r="U68" s="54">
        <f t="shared" si="24"/>
        <v>1315.674</v>
      </c>
      <c r="V68" s="386">
        <f t="shared" si="25"/>
        <v>-884.105</v>
      </c>
      <c r="W68" s="386">
        <f t="shared" si="25"/>
        <v>-222.2</v>
      </c>
      <c r="X68" s="386">
        <f t="shared" si="25"/>
        <v>486.618</v>
      </c>
      <c r="Y68" s="386">
        <f t="shared" si="19"/>
        <v>-619.6870000000001</v>
      </c>
    </row>
    <row r="69" spans="1:25" ht="12.75">
      <c r="A69" s="226" t="s">
        <v>37</v>
      </c>
      <c r="B69" s="52">
        <f t="shared" si="27"/>
        <v>8.4</v>
      </c>
      <c r="C69" s="52">
        <f t="shared" si="27"/>
        <v>0</v>
      </c>
      <c r="D69" s="52">
        <f t="shared" si="27"/>
        <v>17</v>
      </c>
      <c r="E69" s="53">
        <f t="shared" si="13"/>
        <v>25.4</v>
      </c>
      <c r="F69" s="52">
        <f t="shared" si="28"/>
        <v>2.2</v>
      </c>
      <c r="G69" s="52">
        <f t="shared" si="28"/>
        <v>9.5</v>
      </c>
      <c r="H69" s="52">
        <f t="shared" si="28"/>
        <v>0</v>
      </c>
      <c r="I69" s="53">
        <f t="shared" si="14"/>
        <v>11.7</v>
      </c>
      <c r="J69" s="385">
        <f t="shared" si="20"/>
        <v>6.2</v>
      </c>
      <c r="K69" s="385">
        <f t="shared" si="20"/>
        <v>-9.5</v>
      </c>
      <c r="L69" s="385">
        <f t="shared" si="20"/>
        <v>17</v>
      </c>
      <c r="M69" s="47">
        <f>J69+K69+L69</f>
        <v>13.7</v>
      </c>
      <c r="N69" s="54">
        <f t="shared" si="22"/>
        <v>491.82</v>
      </c>
      <c r="O69" s="54">
        <f t="shared" si="15"/>
        <v>0</v>
      </c>
      <c r="P69" s="54">
        <f t="shared" si="23"/>
        <v>377.74</v>
      </c>
      <c r="Q69" s="54">
        <f t="shared" si="16"/>
        <v>869.56</v>
      </c>
      <c r="R69" s="54">
        <f t="shared" si="26"/>
        <v>128.81</v>
      </c>
      <c r="S69" s="54">
        <f t="shared" si="17"/>
        <v>211.08999999999997</v>
      </c>
      <c r="T69" s="54">
        <f t="shared" si="18"/>
        <v>0</v>
      </c>
      <c r="U69" s="54">
        <f t="shared" si="24"/>
        <v>339.9</v>
      </c>
      <c r="V69" s="386">
        <f t="shared" si="25"/>
        <v>363.01</v>
      </c>
      <c r="W69" s="386">
        <f t="shared" si="25"/>
        <v>-211.08999999999997</v>
      </c>
      <c r="X69" s="386">
        <f t="shared" si="25"/>
        <v>377.74</v>
      </c>
      <c r="Y69" s="386">
        <f t="shared" si="19"/>
        <v>529.6600000000001</v>
      </c>
    </row>
    <row r="70" spans="1:25" ht="12.75">
      <c r="A70" s="226" t="s">
        <v>15</v>
      </c>
      <c r="B70" s="52">
        <f t="shared" si="27"/>
        <v>800</v>
      </c>
      <c r="C70" s="52">
        <f t="shared" si="27"/>
        <v>26.4</v>
      </c>
      <c r="D70" s="52">
        <f t="shared" si="27"/>
        <v>0</v>
      </c>
      <c r="E70" s="53">
        <f t="shared" si="13"/>
        <v>826.4</v>
      </c>
      <c r="F70" s="52">
        <f t="shared" si="28"/>
        <v>38.2</v>
      </c>
      <c r="G70" s="52">
        <f t="shared" si="28"/>
        <v>0</v>
      </c>
      <c r="H70" s="52">
        <f t="shared" si="28"/>
        <v>5.4</v>
      </c>
      <c r="I70" s="53">
        <f t="shared" si="14"/>
        <v>43.6</v>
      </c>
      <c r="J70" s="385">
        <f t="shared" si="20"/>
        <v>761.8</v>
      </c>
      <c r="K70" s="385">
        <f t="shared" si="20"/>
        <v>26.4</v>
      </c>
      <c r="L70" s="385">
        <f t="shared" si="20"/>
        <v>-5.4</v>
      </c>
      <c r="M70" s="47">
        <f>J70+K70+L70</f>
        <v>782.8</v>
      </c>
      <c r="N70" s="54">
        <f t="shared" si="22"/>
        <v>41064</v>
      </c>
      <c r="O70" s="54">
        <f t="shared" si="15"/>
        <v>396</v>
      </c>
      <c r="P70" s="54">
        <f t="shared" si="23"/>
        <v>0</v>
      </c>
      <c r="Q70" s="54">
        <f t="shared" si="16"/>
        <v>41460</v>
      </c>
      <c r="R70" s="54">
        <f t="shared" si="26"/>
        <v>1960.806</v>
      </c>
      <c r="S70" s="54">
        <f t="shared" si="17"/>
        <v>0</v>
      </c>
      <c r="T70" s="54">
        <f t="shared" si="18"/>
        <v>81</v>
      </c>
      <c r="U70" s="54">
        <f t="shared" si="24"/>
        <v>2041.806</v>
      </c>
      <c r="V70" s="386">
        <f t="shared" si="25"/>
        <v>39103.194</v>
      </c>
      <c r="W70" s="386">
        <f t="shared" si="25"/>
        <v>396</v>
      </c>
      <c r="X70" s="386">
        <f t="shared" si="25"/>
        <v>-81</v>
      </c>
      <c r="Y70" s="386">
        <f t="shared" si="19"/>
        <v>39418.194</v>
      </c>
    </row>
    <row r="71" spans="1:25" ht="12.75">
      <c r="A71" s="226" t="s">
        <v>128</v>
      </c>
      <c r="B71" s="52">
        <f>B37-B38</f>
        <v>3.6</v>
      </c>
      <c r="C71" s="52">
        <f>C37-C38</f>
        <v>0</v>
      </c>
      <c r="D71" s="52">
        <f>D37-D38</f>
        <v>1.1000000000000005</v>
      </c>
      <c r="E71" s="53">
        <f t="shared" si="13"/>
        <v>4.700000000000001</v>
      </c>
      <c r="F71" s="52">
        <f>F37-F38</f>
        <v>93.6</v>
      </c>
      <c r="G71" s="52">
        <f>G37-G38</f>
        <v>0</v>
      </c>
      <c r="H71" s="52">
        <f>H37-H38</f>
        <v>3.3</v>
      </c>
      <c r="I71" s="53">
        <f t="shared" si="14"/>
        <v>96.89999999999999</v>
      </c>
      <c r="J71" s="385">
        <f t="shared" si="20"/>
        <v>-90</v>
      </c>
      <c r="K71" s="385">
        <f t="shared" si="20"/>
        <v>0</v>
      </c>
      <c r="L71" s="385">
        <f t="shared" si="20"/>
        <v>-2.1999999999999993</v>
      </c>
      <c r="M71" s="47">
        <f t="shared" si="21"/>
        <v>-92.2</v>
      </c>
      <c r="N71" s="54">
        <f t="shared" si="22"/>
        <v>184.788</v>
      </c>
      <c r="O71" s="54">
        <f t="shared" si="15"/>
        <v>0</v>
      </c>
      <c r="P71" s="54">
        <f t="shared" si="23"/>
        <v>16.500000000000007</v>
      </c>
      <c r="Q71" s="54">
        <f t="shared" si="16"/>
        <v>201.288</v>
      </c>
      <c r="R71" s="54">
        <f t="shared" si="26"/>
        <v>4804.487999999999</v>
      </c>
      <c r="S71" s="54">
        <f t="shared" si="17"/>
        <v>0</v>
      </c>
      <c r="T71" s="54">
        <f t="shared" si="18"/>
        <v>49.5</v>
      </c>
      <c r="U71" s="54">
        <f t="shared" si="24"/>
        <v>4853.987999999999</v>
      </c>
      <c r="V71" s="386">
        <f t="shared" si="25"/>
        <v>-4619.699999999999</v>
      </c>
      <c r="W71" s="386">
        <f t="shared" si="25"/>
        <v>0</v>
      </c>
      <c r="X71" s="386">
        <f t="shared" si="25"/>
        <v>-32.99999999999999</v>
      </c>
      <c r="Y71" s="386">
        <f t="shared" si="19"/>
        <v>-4652.699999999999</v>
      </c>
    </row>
    <row r="72" spans="1:25" ht="12.75">
      <c r="A72" s="226" t="s">
        <v>127</v>
      </c>
      <c r="B72" s="52">
        <f aca="true" t="shared" si="29" ref="B72:D75">B38</f>
        <v>0.9</v>
      </c>
      <c r="C72" s="52">
        <f t="shared" si="29"/>
        <v>0</v>
      </c>
      <c r="D72" s="52">
        <f t="shared" si="29"/>
        <v>5.1</v>
      </c>
      <c r="E72" s="53">
        <f t="shared" si="13"/>
        <v>6</v>
      </c>
      <c r="F72" s="52">
        <f aca="true" t="shared" si="30" ref="F72:H75">F38</f>
        <v>50.6</v>
      </c>
      <c r="G72" s="52">
        <f t="shared" si="30"/>
        <v>0</v>
      </c>
      <c r="H72" s="52">
        <f t="shared" si="30"/>
        <v>0</v>
      </c>
      <c r="I72" s="53">
        <f t="shared" si="14"/>
        <v>50.6</v>
      </c>
      <c r="J72" s="385">
        <f t="shared" si="20"/>
        <v>-49.7</v>
      </c>
      <c r="K72" s="385">
        <f t="shared" si="20"/>
        <v>0</v>
      </c>
      <c r="L72" s="385">
        <f t="shared" si="20"/>
        <v>5.1</v>
      </c>
      <c r="M72" s="47">
        <f t="shared" si="21"/>
        <v>-44.6</v>
      </c>
      <c r="N72" s="54">
        <f t="shared" si="22"/>
        <v>46.197</v>
      </c>
      <c r="O72" s="54">
        <f t="shared" si="15"/>
        <v>0</v>
      </c>
      <c r="P72" s="54">
        <f t="shared" si="23"/>
        <v>76.5</v>
      </c>
      <c r="Q72" s="54">
        <f t="shared" si="16"/>
        <v>122.697</v>
      </c>
      <c r="R72" s="54">
        <f t="shared" si="26"/>
        <v>2597.298</v>
      </c>
      <c r="S72" s="54">
        <f t="shared" si="17"/>
        <v>0</v>
      </c>
      <c r="T72" s="54">
        <f t="shared" si="18"/>
        <v>0</v>
      </c>
      <c r="U72" s="54">
        <f t="shared" si="24"/>
        <v>2597.298</v>
      </c>
      <c r="V72" s="386">
        <f t="shared" si="25"/>
        <v>-2551.1009999999997</v>
      </c>
      <c r="W72" s="386">
        <f t="shared" si="25"/>
        <v>0</v>
      </c>
      <c r="X72" s="386">
        <f t="shared" si="25"/>
        <v>76.5</v>
      </c>
      <c r="Y72" s="386">
        <f t="shared" si="19"/>
        <v>-2474.6009999999997</v>
      </c>
    </row>
    <row r="73" spans="1:25" ht="12.75">
      <c r="A73" s="24" t="s">
        <v>20</v>
      </c>
      <c r="B73" s="52">
        <f t="shared" si="29"/>
        <v>151.7</v>
      </c>
      <c r="C73" s="52">
        <f t="shared" si="29"/>
        <v>108.1</v>
      </c>
      <c r="D73" s="52">
        <f t="shared" si="29"/>
        <v>26.3</v>
      </c>
      <c r="E73" s="53">
        <f t="shared" si="13"/>
        <v>286.09999999999997</v>
      </c>
      <c r="F73" s="52">
        <f t="shared" si="30"/>
        <v>710.6</v>
      </c>
      <c r="G73" s="52">
        <f t="shared" si="30"/>
        <v>0.8</v>
      </c>
      <c r="H73" s="52">
        <f t="shared" si="30"/>
        <v>0</v>
      </c>
      <c r="I73" s="53">
        <f t="shared" si="14"/>
        <v>711.4</v>
      </c>
      <c r="J73" s="385">
        <f t="shared" si="20"/>
        <v>-558.9000000000001</v>
      </c>
      <c r="K73" s="385">
        <f t="shared" si="20"/>
        <v>107.3</v>
      </c>
      <c r="L73" s="385">
        <f t="shared" si="20"/>
        <v>26.3</v>
      </c>
      <c r="M73" s="47">
        <f>J73+K73+L73</f>
        <v>-425.30000000000007</v>
      </c>
      <c r="N73" s="54">
        <f t="shared" si="22"/>
        <v>7786.7609999999995</v>
      </c>
      <c r="O73" s="54">
        <f t="shared" si="15"/>
        <v>1621.5</v>
      </c>
      <c r="P73" s="54">
        <f t="shared" si="23"/>
        <v>394.5</v>
      </c>
      <c r="Q73" s="54">
        <f t="shared" si="16"/>
        <v>9802.760999999999</v>
      </c>
      <c r="R73" s="54">
        <f t="shared" si="26"/>
        <v>36475.098</v>
      </c>
      <c r="S73" s="54">
        <f t="shared" si="17"/>
        <v>12</v>
      </c>
      <c r="T73" s="54">
        <f t="shared" si="18"/>
        <v>0</v>
      </c>
      <c r="U73" s="54">
        <f t="shared" si="24"/>
        <v>36487.098</v>
      </c>
      <c r="V73" s="386">
        <f t="shared" si="25"/>
        <v>-28688.337</v>
      </c>
      <c r="W73" s="386">
        <f t="shared" si="25"/>
        <v>1609.5</v>
      </c>
      <c r="X73" s="386">
        <f>P73-T73</f>
        <v>394.5</v>
      </c>
      <c r="Y73" s="386">
        <f>V73+W73+X73</f>
        <v>-26684.337</v>
      </c>
    </row>
    <row r="74" spans="1:25" ht="12.75">
      <c r="A74" s="24" t="s">
        <v>11</v>
      </c>
      <c r="B74" s="52">
        <f t="shared" si="29"/>
        <v>151.1</v>
      </c>
      <c r="C74" s="52">
        <f t="shared" si="29"/>
        <v>0</v>
      </c>
      <c r="D74" s="52">
        <f t="shared" si="29"/>
        <v>15</v>
      </c>
      <c r="E74" s="53">
        <f t="shared" si="13"/>
        <v>166.1</v>
      </c>
      <c r="F74" s="52">
        <f t="shared" si="30"/>
        <v>14.2</v>
      </c>
      <c r="G74" s="52">
        <f t="shared" si="30"/>
        <v>17.7</v>
      </c>
      <c r="H74" s="52">
        <f t="shared" si="30"/>
        <v>0</v>
      </c>
      <c r="I74" s="53">
        <f t="shared" si="14"/>
        <v>31.9</v>
      </c>
      <c r="J74" s="385">
        <f t="shared" si="20"/>
        <v>136.9</v>
      </c>
      <c r="K74" s="385">
        <f t="shared" si="20"/>
        <v>-17.7</v>
      </c>
      <c r="L74" s="385">
        <f t="shared" si="20"/>
        <v>15</v>
      </c>
      <c r="M74" s="47">
        <f>J74+K74+L74</f>
        <v>134.2</v>
      </c>
      <c r="N74" s="54">
        <f t="shared" si="22"/>
        <v>7755.963</v>
      </c>
      <c r="O74" s="54">
        <f t="shared" si="15"/>
        <v>0</v>
      </c>
      <c r="P74" s="54">
        <f t="shared" si="23"/>
        <v>225</v>
      </c>
      <c r="Q74" s="54">
        <f t="shared" si="16"/>
        <v>7980.963</v>
      </c>
      <c r="R74" s="54">
        <f t="shared" si="26"/>
        <v>728.886</v>
      </c>
      <c r="S74" s="54">
        <f t="shared" si="17"/>
        <v>265.5</v>
      </c>
      <c r="T74" s="54">
        <f t="shared" si="18"/>
        <v>0</v>
      </c>
      <c r="U74" s="54">
        <f t="shared" si="24"/>
        <v>994.386</v>
      </c>
      <c r="V74" s="386">
        <f t="shared" si="25"/>
        <v>7027.076999999999</v>
      </c>
      <c r="W74" s="386">
        <f t="shared" si="25"/>
        <v>-265.5</v>
      </c>
      <c r="X74" s="386">
        <f t="shared" si="25"/>
        <v>225</v>
      </c>
      <c r="Y74" s="386">
        <f>V74+W74+X74</f>
        <v>6986.576999999999</v>
      </c>
    </row>
    <row r="75" spans="1:25" ht="12.75">
      <c r="A75" s="24" t="s">
        <v>10</v>
      </c>
      <c r="B75" s="52">
        <f t="shared" si="29"/>
        <v>6</v>
      </c>
      <c r="C75" s="52">
        <f t="shared" si="29"/>
        <v>1.3</v>
      </c>
      <c r="D75" s="52">
        <f t="shared" si="29"/>
        <v>13.5</v>
      </c>
      <c r="E75" s="53">
        <f t="shared" si="13"/>
        <v>20.8</v>
      </c>
      <c r="F75" s="52">
        <f t="shared" si="30"/>
        <v>157.6</v>
      </c>
      <c r="G75" s="52">
        <f t="shared" si="30"/>
        <v>0.1</v>
      </c>
      <c r="H75" s="52">
        <f t="shared" si="30"/>
        <v>0</v>
      </c>
      <c r="I75" s="53">
        <f t="shared" si="14"/>
        <v>157.7</v>
      </c>
      <c r="J75" s="385">
        <f t="shared" si="20"/>
        <v>-151.6</v>
      </c>
      <c r="K75" s="385">
        <f t="shared" si="20"/>
        <v>1.2</v>
      </c>
      <c r="L75" s="385">
        <f t="shared" si="20"/>
        <v>13.5</v>
      </c>
      <c r="M75" s="47">
        <f>J75+K75+L75</f>
        <v>-136.9</v>
      </c>
      <c r="N75" s="54">
        <f>B75*D17</f>
        <v>307.98</v>
      </c>
      <c r="O75" s="54">
        <f t="shared" si="15"/>
        <v>19.5</v>
      </c>
      <c r="P75" s="54">
        <f t="shared" si="23"/>
        <v>202.5</v>
      </c>
      <c r="Q75" s="54">
        <f t="shared" si="16"/>
        <v>529.98</v>
      </c>
      <c r="R75" s="54">
        <f t="shared" si="26"/>
        <v>8089.607999999999</v>
      </c>
      <c r="S75" s="54">
        <f t="shared" si="17"/>
        <v>1.5</v>
      </c>
      <c r="T75" s="54">
        <f t="shared" si="18"/>
        <v>0</v>
      </c>
      <c r="U75" s="54">
        <f t="shared" si="24"/>
        <v>8091.107999999999</v>
      </c>
      <c r="V75" s="386">
        <f t="shared" si="25"/>
        <v>-7781.627999999999</v>
      </c>
      <c r="W75" s="386">
        <f>O75-S75</f>
        <v>18</v>
      </c>
      <c r="X75" s="386">
        <f t="shared" si="25"/>
        <v>202.5</v>
      </c>
      <c r="Y75" s="386">
        <f>V75+W75+X75</f>
        <v>-7561.127999999999</v>
      </c>
    </row>
    <row r="76" spans="1:25" ht="12.75">
      <c r="A76" s="226" t="s">
        <v>50</v>
      </c>
      <c r="B76" s="58">
        <f aca="true" t="shared" si="31" ref="B76:N76">SUM(B63:B75)</f>
        <v>2105.1</v>
      </c>
      <c r="C76" s="58">
        <f t="shared" si="31"/>
        <v>1382.5</v>
      </c>
      <c r="D76" s="58">
        <f t="shared" si="31"/>
        <v>504.4000000000001</v>
      </c>
      <c r="E76" s="75">
        <f t="shared" si="31"/>
        <v>3991.9999999999995</v>
      </c>
      <c r="F76" s="58">
        <f t="shared" si="31"/>
        <v>2105.1</v>
      </c>
      <c r="G76" s="58">
        <f t="shared" si="31"/>
        <v>130.2</v>
      </c>
      <c r="H76" s="58">
        <f t="shared" si="31"/>
        <v>59.8</v>
      </c>
      <c r="I76" s="75">
        <f t="shared" si="31"/>
        <v>2295.1</v>
      </c>
      <c r="J76" s="75">
        <f t="shared" si="31"/>
        <v>-2.8421709430404007E-13</v>
      </c>
      <c r="K76" s="75">
        <f t="shared" si="31"/>
        <v>1252.3000000000002</v>
      </c>
      <c r="L76" s="75">
        <f t="shared" si="31"/>
        <v>444.6</v>
      </c>
      <c r="M76" s="75">
        <f t="shared" si="31"/>
        <v>1696.8999999999999</v>
      </c>
      <c r="N76" s="76">
        <f t="shared" si="31"/>
        <v>108748.62499999999</v>
      </c>
      <c r="O76" s="76">
        <f aca="true" t="shared" si="32" ref="O76:W76">SUM(O63:O75)</f>
        <v>20938.938</v>
      </c>
      <c r="P76" s="76">
        <f t="shared" si="32"/>
        <v>9413.598</v>
      </c>
      <c r="Q76" s="76">
        <f>SUM(Q63:Q75)</f>
        <v>139101.161</v>
      </c>
      <c r="R76" s="76">
        <f t="shared" si="32"/>
        <v>108394.84499999997</v>
      </c>
      <c r="S76" s="76">
        <f t="shared" si="32"/>
        <v>2423.022</v>
      </c>
      <c r="T76" s="76">
        <f t="shared" si="32"/>
        <v>1024.072</v>
      </c>
      <c r="U76" s="76">
        <f>SUM(U63:U75)</f>
        <v>111841.93899999997</v>
      </c>
      <c r="V76" s="387">
        <f t="shared" si="32"/>
        <v>353.7800000000025</v>
      </c>
      <c r="W76" s="387">
        <f t="shared" si="32"/>
        <v>18515.916</v>
      </c>
      <c r="X76" s="387">
        <f>SUM(X63:X75)</f>
        <v>8389.526</v>
      </c>
      <c r="Y76" s="387">
        <f>SUM(Y63:Y75)</f>
        <v>27259.221999999994</v>
      </c>
    </row>
    <row r="77" spans="1:25" ht="12.75">
      <c r="A77" s="7"/>
      <c r="B77" s="388"/>
      <c r="C77" s="388"/>
      <c r="D77" s="388"/>
      <c r="E77" s="389"/>
      <c r="F77" s="388"/>
      <c r="G77" s="388"/>
      <c r="H77" s="388"/>
      <c r="I77" s="389"/>
      <c r="J77" s="388"/>
      <c r="K77" s="388"/>
      <c r="L77" s="388"/>
      <c r="M77" s="388"/>
      <c r="N77" s="390"/>
      <c r="O77" s="390"/>
      <c r="P77" s="390"/>
      <c r="Q77" s="390"/>
      <c r="R77" s="390"/>
      <c r="S77" s="390"/>
      <c r="T77" s="390"/>
      <c r="U77" s="390"/>
      <c r="V77" s="390"/>
      <c r="W77" s="390"/>
      <c r="X77" s="390"/>
      <c r="Y77" s="390" t="s">
        <v>24</v>
      </c>
    </row>
    <row r="78" spans="1:10" ht="15.75">
      <c r="A78" s="679" t="s">
        <v>277</v>
      </c>
      <c r="B78" s="679"/>
      <c r="C78" s="391"/>
      <c r="D78" s="391"/>
      <c r="F78" s="392"/>
      <c r="G78" s="364"/>
      <c r="H78" s="364"/>
      <c r="I78" s="393"/>
      <c r="J78" s="391"/>
    </row>
    <row r="79" spans="1:10" ht="12.75">
      <c r="A79" s="680" t="s">
        <v>3</v>
      </c>
      <c r="B79" s="682" t="s">
        <v>268</v>
      </c>
      <c r="C79" s="682"/>
      <c r="D79" s="682"/>
      <c r="E79" s="682" t="s">
        <v>278</v>
      </c>
      <c r="F79" s="682"/>
      <c r="G79" s="682"/>
      <c r="H79" s="682"/>
      <c r="I79" s="38"/>
      <c r="J79" s="59"/>
    </row>
    <row r="80" spans="1:10" ht="63.75">
      <c r="A80" s="681"/>
      <c r="B80" s="227" t="s">
        <v>269</v>
      </c>
      <c r="C80" s="203" t="s">
        <v>248</v>
      </c>
      <c r="D80" s="203" t="s">
        <v>249</v>
      </c>
      <c r="E80" s="227" t="s">
        <v>269</v>
      </c>
      <c r="F80" s="203" t="s">
        <v>248</v>
      </c>
      <c r="G80" s="203" t="s">
        <v>249</v>
      </c>
      <c r="H80" s="394" t="s">
        <v>159</v>
      </c>
      <c r="I80" s="227" t="s">
        <v>279</v>
      </c>
      <c r="J80" s="227" t="s">
        <v>280</v>
      </c>
    </row>
    <row r="81" spans="1:10" ht="12.75">
      <c r="A81" s="226" t="s">
        <v>46</v>
      </c>
      <c r="B81" s="52">
        <f>N29-N30-N37-N39</f>
        <v>0</v>
      </c>
      <c r="C81" s="52">
        <f>O29-O30-O37-O39</f>
        <v>0</v>
      </c>
      <c r="D81" s="52">
        <f>P29-P30-P37-P39</f>
        <v>0</v>
      </c>
      <c r="E81" s="33">
        <f aca="true" t="shared" si="33" ref="E81:E93">B81*D5</f>
        <v>0</v>
      </c>
      <c r="F81" s="33">
        <f aca="true" t="shared" si="34" ref="F81:F93">C81*F5</f>
        <v>0</v>
      </c>
      <c r="G81" s="33">
        <f aca="true" t="shared" si="35" ref="G81:G93">D81*H5</f>
        <v>0</v>
      </c>
      <c r="H81" s="33">
        <f>E81+F81+G81</f>
        <v>0</v>
      </c>
      <c r="I81" s="33">
        <v>0</v>
      </c>
      <c r="J81" s="33">
        <v>0</v>
      </c>
    </row>
    <row r="82" spans="1:11" ht="12.75">
      <c r="A82" s="226" t="s">
        <v>49</v>
      </c>
      <c r="B82" s="52">
        <f>N30-N31-N32-N41</f>
        <v>0</v>
      </c>
      <c r="C82" s="52">
        <f>O30-O31-O32-O41</f>
        <v>0</v>
      </c>
      <c r="D82" s="52">
        <f>P30-P31-P32-P41</f>
        <v>0</v>
      </c>
      <c r="E82" s="33">
        <f>B82*D6</f>
        <v>0</v>
      </c>
      <c r="F82" s="33">
        <f t="shared" si="34"/>
        <v>0</v>
      </c>
      <c r="G82" s="33">
        <f t="shared" si="35"/>
        <v>0</v>
      </c>
      <c r="H82" s="33">
        <f>E82+F82+G82</f>
        <v>0</v>
      </c>
      <c r="I82" s="33">
        <v>0</v>
      </c>
      <c r="J82" s="33">
        <f>H82</f>
        <v>0</v>
      </c>
      <c r="K82" s="4" t="s">
        <v>24</v>
      </c>
    </row>
    <row r="83" spans="1:10" ht="12.75">
      <c r="A83" s="226" t="s">
        <v>48</v>
      </c>
      <c r="B83" s="52">
        <f>N31-N33-N35</f>
        <v>0</v>
      </c>
      <c r="C83" s="52">
        <f>O31-O33-O35</f>
        <v>0</v>
      </c>
      <c r="D83" s="52">
        <f>P31-P33-P35</f>
        <v>0</v>
      </c>
      <c r="E83" s="33">
        <f t="shared" si="33"/>
        <v>0</v>
      </c>
      <c r="F83" s="33">
        <f t="shared" si="34"/>
        <v>0</v>
      </c>
      <c r="G83" s="33">
        <f t="shared" si="35"/>
        <v>0</v>
      </c>
      <c r="H83" s="33">
        <f>E83+F83+G83</f>
        <v>0</v>
      </c>
      <c r="I83" s="33">
        <v>0</v>
      </c>
      <c r="J83" s="33">
        <v>0</v>
      </c>
    </row>
    <row r="84" spans="1:10" ht="12.75">
      <c r="A84" s="226" t="s">
        <v>47</v>
      </c>
      <c r="B84" s="52">
        <f>N32-N36-N40</f>
        <v>0</v>
      </c>
      <c r="C84" s="52">
        <f>O32-O36-O40</f>
        <v>0</v>
      </c>
      <c r="D84" s="52">
        <f>P32-P36-P40</f>
        <v>0</v>
      </c>
      <c r="E84" s="33">
        <f t="shared" si="33"/>
        <v>0</v>
      </c>
      <c r="F84" s="33">
        <f t="shared" si="34"/>
        <v>0</v>
      </c>
      <c r="G84" s="33">
        <f t="shared" si="35"/>
        <v>0</v>
      </c>
      <c r="H84" s="33">
        <f aca="true" t="shared" si="36" ref="H84:H89">E84+F84+G84</f>
        <v>0</v>
      </c>
      <c r="I84" s="33">
        <v>0</v>
      </c>
      <c r="J84" s="33">
        <v>0</v>
      </c>
    </row>
    <row r="85" spans="1:10" ht="12.75">
      <c r="A85" s="226" t="s">
        <v>39</v>
      </c>
      <c r="B85" s="52">
        <f>N33-N34</f>
        <v>0</v>
      </c>
      <c r="C85" s="52">
        <f>O33-O34</f>
        <v>0</v>
      </c>
      <c r="D85" s="52">
        <f>P33-P34</f>
        <v>0</v>
      </c>
      <c r="E85" s="33">
        <f t="shared" si="33"/>
        <v>0</v>
      </c>
      <c r="F85" s="33">
        <f t="shared" si="34"/>
        <v>0</v>
      </c>
      <c r="G85" s="33">
        <f t="shared" si="35"/>
        <v>0</v>
      </c>
      <c r="H85" s="33">
        <f t="shared" si="36"/>
        <v>0</v>
      </c>
      <c r="I85" s="33">
        <v>0</v>
      </c>
      <c r="J85" s="33">
        <v>0</v>
      </c>
    </row>
    <row r="86" spans="1:10" ht="12.75">
      <c r="A86" s="226" t="s">
        <v>36</v>
      </c>
      <c r="B86" s="52">
        <f aca="true" t="shared" si="37" ref="B86:D88">N34</f>
        <v>0</v>
      </c>
      <c r="C86" s="52">
        <f t="shared" si="37"/>
        <v>0</v>
      </c>
      <c r="D86" s="52">
        <f t="shared" si="37"/>
        <v>0</v>
      </c>
      <c r="E86" s="33">
        <f t="shared" si="33"/>
        <v>0</v>
      </c>
      <c r="F86" s="33">
        <f t="shared" si="34"/>
        <v>0</v>
      </c>
      <c r="G86" s="33">
        <f t="shared" si="35"/>
        <v>0</v>
      </c>
      <c r="H86" s="33">
        <f t="shared" si="36"/>
        <v>0</v>
      </c>
      <c r="I86" s="33">
        <v>0</v>
      </c>
      <c r="J86" s="33">
        <v>0</v>
      </c>
    </row>
    <row r="87" spans="1:10" ht="12.75">
      <c r="A87" s="226" t="s">
        <v>37</v>
      </c>
      <c r="B87" s="52">
        <f t="shared" si="37"/>
        <v>0</v>
      </c>
      <c r="C87" s="52">
        <f t="shared" si="37"/>
        <v>0</v>
      </c>
      <c r="D87" s="52">
        <f t="shared" si="37"/>
        <v>0</v>
      </c>
      <c r="E87" s="33">
        <f t="shared" si="33"/>
        <v>0</v>
      </c>
      <c r="F87" s="33">
        <f t="shared" si="34"/>
        <v>0</v>
      </c>
      <c r="G87" s="33">
        <f t="shared" si="35"/>
        <v>0</v>
      </c>
      <c r="H87" s="33">
        <f t="shared" si="36"/>
        <v>0</v>
      </c>
      <c r="I87" s="33">
        <v>0</v>
      </c>
      <c r="J87" s="33">
        <v>0</v>
      </c>
    </row>
    <row r="88" spans="1:10" ht="12.75">
      <c r="A88" s="226" t="s">
        <v>15</v>
      </c>
      <c r="B88" s="52">
        <f t="shared" si="37"/>
        <v>0</v>
      </c>
      <c r="C88" s="52">
        <f t="shared" si="37"/>
        <v>0</v>
      </c>
      <c r="D88" s="52">
        <f t="shared" si="37"/>
        <v>0</v>
      </c>
      <c r="E88" s="33">
        <f t="shared" si="33"/>
        <v>0</v>
      </c>
      <c r="F88" s="33">
        <f t="shared" si="34"/>
        <v>0</v>
      </c>
      <c r="G88" s="33">
        <f t="shared" si="35"/>
        <v>0</v>
      </c>
      <c r="H88" s="33">
        <f t="shared" si="36"/>
        <v>0</v>
      </c>
      <c r="I88" s="33">
        <v>0</v>
      </c>
      <c r="J88" s="33">
        <v>0</v>
      </c>
    </row>
    <row r="89" spans="1:10" ht="12.75">
      <c r="A89" s="226" t="s">
        <v>128</v>
      </c>
      <c r="B89" s="52">
        <f>N37-N38</f>
        <v>0</v>
      </c>
      <c r="C89" s="52">
        <f>O37-O38</f>
        <v>0</v>
      </c>
      <c r="D89" s="52">
        <f>P37-P38</f>
        <v>0</v>
      </c>
      <c r="E89" s="33">
        <f t="shared" si="33"/>
        <v>0</v>
      </c>
      <c r="F89" s="33">
        <f t="shared" si="34"/>
        <v>0</v>
      </c>
      <c r="G89" s="33">
        <f t="shared" si="35"/>
        <v>0</v>
      </c>
      <c r="H89" s="33">
        <f t="shared" si="36"/>
        <v>0</v>
      </c>
      <c r="I89" s="33">
        <f>H89*0</f>
        <v>0</v>
      </c>
      <c r="J89" s="33">
        <f>H89*1</f>
        <v>0</v>
      </c>
    </row>
    <row r="90" spans="1:10" ht="12.75">
      <c r="A90" s="24" t="s">
        <v>127</v>
      </c>
      <c r="B90" s="52">
        <f aca="true" t="shared" si="38" ref="B90:D93">N38</f>
        <v>0</v>
      </c>
      <c r="C90" s="52">
        <f t="shared" si="38"/>
        <v>0</v>
      </c>
      <c r="D90" s="52">
        <f t="shared" si="38"/>
        <v>0</v>
      </c>
      <c r="E90" s="33">
        <f t="shared" si="33"/>
        <v>0</v>
      </c>
      <c r="F90" s="33">
        <f t="shared" si="34"/>
        <v>0</v>
      </c>
      <c r="G90" s="33">
        <f t="shared" si="35"/>
        <v>0</v>
      </c>
      <c r="H90" s="33">
        <f>E90+F90+G90</f>
        <v>0</v>
      </c>
      <c r="I90" s="33">
        <f>H90*0</f>
        <v>0</v>
      </c>
      <c r="J90" s="33">
        <f>H90*1</f>
        <v>0</v>
      </c>
    </row>
    <row r="91" spans="1:10" ht="12.75">
      <c r="A91" s="24" t="s">
        <v>20</v>
      </c>
      <c r="B91" s="52">
        <f t="shared" si="38"/>
        <v>0</v>
      </c>
      <c r="C91" s="52">
        <f t="shared" si="38"/>
        <v>0</v>
      </c>
      <c r="D91" s="52">
        <f t="shared" si="38"/>
        <v>0</v>
      </c>
      <c r="E91" s="33">
        <f t="shared" si="33"/>
        <v>0</v>
      </c>
      <c r="F91" s="33">
        <f t="shared" si="34"/>
        <v>0</v>
      </c>
      <c r="G91" s="33">
        <f t="shared" si="35"/>
        <v>0</v>
      </c>
      <c r="H91" s="33">
        <f>E91+F91+G91</f>
        <v>0</v>
      </c>
      <c r="I91" s="33">
        <f>H91*0</f>
        <v>0</v>
      </c>
      <c r="J91" s="33">
        <f>H91*1</f>
        <v>0</v>
      </c>
    </row>
    <row r="92" spans="1:10" ht="12.75">
      <c r="A92" s="24" t="s">
        <v>11</v>
      </c>
      <c r="B92" s="52">
        <f t="shared" si="38"/>
        <v>0</v>
      </c>
      <c r="C92" s="52">
        <f t="shared" si="38"/>
        <v>0</v>
      </c>
      <c r="D92" s="52">
        <f t="shared" si="38"/>
        <v>0</v>
      </c>
      <c r="E92" s="33">
        <f t="shared" si="33"/>
        <v>0</v>
      </c>
      <c r="F92" s="33">
        <f t="shared" si="34"/>
        <v>0</v>
      </c>
      <c r="G92" s="33">
        <f t="shared" si="35"/>
        <v>0</v>
      </c>
      <c r="H92" s="33">
        <f>E92+F92+G92</f>
        <v>0</v>
      </c>
      <c r="I92" s="33">
        <f>H92*0</f>
        <v>0</v>
      </c>
      <c r="J92" s="33">
        <f>H92*1</f>
        <v>0</v>
      </c>
    </row>
    <row r="93" spans="1:10" ht="12.75">
      <c r="A93" s="24" t="s">
        <v>10</v>
      </c>
      <c r="B93" s="52">
        <f t="shared" si="38"/>
        <v>0</v>
      </c>
      <c r="C93" s="52">
        <f t="shared" si="38"/>
        <v>0</v>
      </c>
      <c r="D93" s="52">
        <f t="shared" si="38"/>
        <v>0</v>
      </c>
      <c r="E93" s="33">
        <f t="shared" si="33"/>
        <v>0</v>
      </c>
      <c r="F93" s="33">
        <f t="shared" si="34"/>
        <v>0</v>
      </c>
      <c r="G93" s="33">
        <f t="shared" si="35"/>
        <v>0</v>
      </c>
      <c r="H93" s="33">
        <f>E93+F93+G93</f>
        <v>0</v>
      </c>
      <c r="I93" s="33">
        <f>H93*0</f>
        <v>0</v>
      </c>
      <c r="J93" s="33">
        <f>H93*1</f>
        <v>0</v>
      </c>
    </row>
    <row r="94" spans="1:10" ht="12.75">
      <c r="A94" s="226" t="s">
        <v>50</v>
      </c>
      <c r="B94" s="58">
        <f aca="true" t="shared" si="39" ref="B94:J94">SUM(B81:B93)</f>
        <v>0</v>
      </c>
      <c r="C94" s="58">
        <f t="shared" si="39"/>
        <v>0</v>
      </c>
      <c r="D94" s="58">
        <f t="shared" si="39"/>
        <v>0</v>
      </c>
      <c r="E94" s="44">
        <f t="shared" si="39"/>
        <v>0</v>
      </c>
      <c r="F94" s="44">
        <f t="shared" si="39"/>
        <v>0</v>
      </c>
      <c r="G94" s="44">
        <f t="shared" si="39"/>
        <v>0</v>
      </c>
      <c r="H94" s="44">
        <f t="shared" si="39"/>
        <v>0</v>
      </c>
      <c r="I94" s="76">
        <f>SUM(I81:I93)</f>
        <v>0</v>
      </c>
      <c r="J94" s="44">
        <f t="shared" si="39"/>
        <v>0</v>
      </c>
    </row>
  </sheetData>
  <sheetProtection/>
  <mergeCells count="26">
    <mergeCell ref="A3:B3"/>
    <mergeCell ref="A24:H24"/>
    <mergeCell ref="A26:D26"/>
    <mergeCell ref="A27:A28"/>
    <mergeCell ref="B27:E27"/>
    <mergeCell ref="F27:I27"/>
    <mergeCell ref="A25:H25"/>
    <mergeCell ref="J27:M27"/>
    <mergeCell ref="N27:Q27"/>
    <mergeCell ref="A43:C43"/>
    <mergeCell ref="A44:A45"/>
    <mergeCell ref="B44:E44"/>
    <mergeCell ref="F44:I44"/>
    <mergeCell ref="J44:M44"/>
    <mergeCell ref="A60:B60"/>
    <mergeCell ref="A61:A62"/>
    <mergeCell ref="B61:E61"/>
    <mergeCell ref="F61:I61"/>
    <mergeCell ref="J61:M61"/>
    <mergeCell ref="N61:Q61"/>
    <mergeCell ref="R61:U61"/>
    <mergeCell ref="V61:Y61"/>
    <mergeCell ref="A78:B78"/>
    <mergeCell ref="A79:A80"/>
    <mergeCell ref="B79:D79"/>
    <mergeCell ref="E79:H79"/>
  </mergeCells>
  <printOptions/>
  <pageMargins left="0.5" right="0.5" top="0.5" bottom="0.5" header="0.3" footer="0.3"/>
  <pageSetup fitToHeight="1" fitToWidth="1" horizontalDpi="600" verticalDpi="600" orientation="landscape" paperSize="17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41" width="16.7109375" style="0" customWidth="1"/>
  </cols>
  <sheetData>
    <row r="1" spans="1:12" ht="18.75">
      <c r="A1" s="111" t="s">
        <v>315</v>
      </c>
      <c r="B1" s="4"/>
      <c r="C1" s="4"/>
      <c r="D1" s="4"/>
      <c r="G1" s="16" t="s">
        <v>24</v>
      </c>
      <c r="H1" s="4"/>
      <c r="I1" s="4"/>
      <c r="J1" s="4"/>
      <c r="K1" s="4"/>
      <c r="L1" s="4"/>
    </row>
    <row r="2" spans="1:12" ht="12.75">
      <c r="A2" s="395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>
      <c r="A3" s="499" t="s">
        <v>0</v>
      </c>
      <c r="B3" s="500"/>
      <c r="C3" s="4"/>
      <c r="D3" s="1" t="s">
        <v>24</v>
      </c>
      <c r="E3" s="4"/>
      <c r="F3" s="4"/>
      <c r="G3" s="4"/>
      <c r="H3" s="4"/>
      <c r="I3" s="4"/>
      <c r="J3" s="4"/>
      <c r="K3" s="4"/>
      <c r="L3" s="4"/>
    </row>
    <row r="4" spans="1:12" ht="12.75">
      <c r="A4" s="226" t="s">
        <v>1</v>
      </c>
      <c r="B4" s="501">
        <v>0.166</v>
      </c>
      <c r="C4" s="4"/>
      <c r="D4" s="396" t="s">
        <v>24</v>
      </c>
      <c r="E4" s="377" t="s">
        <v>24</v>
      </c>
      <c r="F4" s="377" t="s">
        <v>24</v>
      </c>
      <c r="G4" s="377" t="s">
        <v>24</v>
      </c>
      <c r="H4" s="377" t="s">
        <v>24</v>
      </c>
      <c r="I4" s="377" t="s">
        <v>24</v>
      </c>
      <c r="J4" s="377" t="s">
        <v>24</v>
      </c>
      <c r="K4" s="4"/>
      <c r="L4" s="377" t="s">
        <v>24</v>
      </c>
    </row>
    <row r="5" spans="1:12" ht="12.75">
      <c r="A5" s="211" t="s">
        <v>2</v>
      </c>
      <c r="B5" s="502">
        <v>0.0659</v>
      </c>
      <c r="C5" s="4"/>
      <c r="D5" s="397" t="s">
        <v>24</v>
      </c>
      <c r="E5" s="398" t="s">
        <v>24</v>
      </c>
      <c r="F5" s="399" t="s">
        <v>24</v>
      </c>
      <c r="G5" s="399" t="s">
        <v>24</v>
      </c>
      <c r="H5" s="399" t="s">
        <v>24</v>
      </c>
      <c r="I5" s="399" t="s">
        <v>24</v>
      </c>
      <c r="J5" s="377" t="s">
        <v>24</v>
      </c>
      <c r="K5" s="377" t="s">
        <v>24</v>
      </c>
      <c r="L5" s="398" t="s">
        <v>24</v>
      </c>
    </row>
    <row r="6" spans="1:12" ht="12.75">
      <c r="A6" s="226" t="s">
        <v>4</v>
      </c>
      <c r="B6" s="503">
        <v>1.0892</v>
      </c>
      <c r="C6" s="4"/>
      <c r="D6" s="400" t="s">
        <v>24</v>
      </c>
      <c r="E6" s="401" t="s">
        <v>24</v>
      </c>
      <c r="F6" s="402" t="s">
        <v>24</v>
      </c>
      <c r="G6" s="403" t="s">
        <v>24</v>
      </c>
      <c r="H6" s="404" t="s">
        <v>24</v>
      </c>
      <c r="I6" s="404" t="s">
        <v>24</v>
      </c>
      <c r="J6" s="404" t="s">
        <v>24</v>
      </c>
      <c r="K6" s="405" t="s">
        <v>24</v>
      </c>
      <c r="L6" s="406" t="s">
        <v>24</v>
      </c>
    </row>
    <row r="7" spans="1:12" ht="12.75">
      <c r="A7" s="226" t="s">
        <v>281</v>
      </c>
      <c r="B7" s="418">
        <v>154613</v>
      </c>
      <c r="C7" s="4"/>
      <c r="D7" s="7" t="s">
        <v>24</v>
      </c>
      <c r="E7" s="398" t="s">
        <v>24</v>
      </c>
      <c r="F7" s="407" t="s">
        <v>24</v>
      </c>
      <c r="G7" s="402" t="s">
        <v>24</v>
      </c>
      <c r="H7" s="402" t="s">
        <v>24</v>
      </c>
      <c r="I7" s="402" t="s">
        <v>24</v>
      </c>
      <c r="J7" s="403" t="s">
        <v>24</v>
      </c>
      <c r="K7" s="404"/>
      <c r="L7" s="398" t="s">
        <v>24</v>
      </c>
    </row>
    <row r="8" spans="1:12" ht="12.75">
      <c r="A8" s="226" t="s">
        <v>23</v>
      </c>
      <c r="B8" s="504">
        <f>B13/(G60*B6)</f>
        <v>1.0711193633079539</v>
      </c>
      <c r="C8" s="408" t="s">
        <v>24</v>
      </c>
      <c r="D8" s="409" t="s">
        <v>24</v>
      </c>
      <c r="E8" s="398" t="s">
        <v>24</v>
      </c>
      <c r="F8" s="407" t="s">
        <v>24</v>
      </c>
      <c r="G8" s="403" t="s">
        <v>24</v>
      </c>
      <c r="H8" s="403" t="s">
        <v>24</v>
      </c>
      <c r="I8" s="403" t="s">
        <v>24</v>
      </c>
      <c r="J8" s="403" t="s">
        <v>24</v>
      </c>
      <c r="K8" s="404" t="s">
        <v>24</v>
      </c>
      <c r="L8" s="398" t="s">
        <v>24</v>
      </c>
    </row>
    <row r="9" spans="1:12" ht="12.75">
      <c r="A9" s="4"/>
      <c r="B9" s="5"/>
      <c r="C9" s="4"/>
      <c r="D9" s="9" t="s">
        <v>24</v>
      </c>
      <c r="E9" s="5" t="s">
        <v>24</v>
      </c>
      <c r="F9" s="410" t="s">
        <v>24</v>
      </c>
      <c r="G9" s="5" t="s">
        <v>24</v>
      </c>
      <c r="H9" s="12" t="s">
        <v>24</v>
      </c>
      <c r="I9" s="4"/>
      <c r="J9" s="4"/>
      <c r="K9" s="4"/>
      <c r="L9" s="4" t="s">
        <v>24</v>
      </c>
    </row>
    <row r="10" spans="1:12" ht="12.75">
      <c r="A10" s="9"/>
      <c r="B10" s="411"/>
      <c r="C10" s="411" t="s">
        <v>24</v>
      </c>
      <c r="D10" s="364" t="s">
        <v>24</v>
      </c>
      <c r="E10" s="365"/>
      <c r="F10" s="366"/>
      <c r="G10" s="412" t="s">
        <v>24</v>
      </c>
      <c r="H10" s="366"/>
      <c r="I10" s="413" t="s">
        <v>24</v>
      </c>
      <c r="J10" s="363"/>
      <c r="K10" s="363"/>
      <c r="L10" s="375"/>
    </row>
    <row r="11" spans="1:12" ht="15.75">
      <c r="A11" s="414" t="s">
        <v>282</v>
      </c>
      <c r="B11" s="364"/>
      <c r="C11" s="364"/>
      <c r="D11" s="364"/>
      <c r="E11" s="415" t="s">
        <v>24</v>
      </c>
      <c r="F11" s="416"/>
      <c r="G11" s="416"/>
      <c r="H11" s="416"/>
      <c r="I11" s="413" t="s">
        <v>24</v>
      </c>
      <c r="J11" s="363"/>
      <c r="K11" s="363"/>
      <c r="L11" s="375"/>
    </row>
    <row r="12" spans="1:12" ht="63.75">
      <c r="A12" s="227" t="s">
        <v>3</v>
      </c>
      <c r="B12" s="227" t="s">
        <v>283</v>
      </c>
      <c r="C12" s="227" t="s">
        <v>284</v>
      </c>
      <c r="D12" s="227" t="s">
        <v>285</v>
      </c>
      <c r="E12" s="227" t="s">
        <v>186</v>
      </c>
      <c r="F12" s="227" t="s">
        <v>183</v>
      </c>
      <c r="G12" s="227" t="s">
        <v>216</v>
      </c>
      <c r="H12" s="227" t="s">
        <v>217</v>
      </c>
      <c r="I12" s="227" t="s">
        <v>286</v>
      </c>
      <c r="J12" s="227" t="s">
        <v>187</v>
      </c>
      <c r="K12" s="227" t="s">
        <v>287</v>
      </c>
      <c r="L12" s="417"/>
    </row>
    <row r="13" spans="1:12" ht="12.75">
      <c r="A13" s="226" t="s">
        <v>6</v>
      </c>
      <c r="B13" s="418">
        <f>'BRA Resource Clearing Results'!E69-'1stIA Resource Clearing Results'!M29</f>
        <v>165608.99999999997</v>
      </c>
      <c r="C13" s="185">
        <f>('BRA Resource Clearing Results'!E69*'BRA Resource Clearing Results'!B5-'1stIA Resource Clearing Results'!M29*'1stIA Resource Clearing Results'!B5)/('BRA Resource Clearing Results'!E69-'1stIA Resource Clearing Results'!M29)</f>
        <v>100.4986934466122</v>
      </c>
      <c r="D13" s="185">
        <f>('BRA Resource Clearing Results'!E69*'BRA Resource Clearing Results'!C5-'1stIA Resource Clearing Results'!M29*'1stIA Resource Clearing Results'!C5)/('BRA Resource Clearing Results'!E69-'1stIA Resource Clearing Results'!M29)</f>
        <v>0</v>
      </c>
      <c r="E13" s="112">
        <f>('BRA Resource Clearing Results'!C29+'BRA Resource Clearing Results'!D29)*'BRA Resource Clearing Results'!E5-('1stIA Resource Clearing Results'!K29+'1stIA Resource Clearing Results'!L29)*'1stIA Resource Clearing Results'!E5</f>
        <v>-478323.623</v>
      </c>
      <c r="F13" s="185">
        <f>E13/B13</f>
        <v>-2.888270703886867</v>
      </c>
      <c r="G13" s="112">
        <f>'BRA Resource Clearing Results'!D29*'BRA Resource Clearing Results'!G5-'1stIA Resource Clearing Results'!L29*'1stIA Resource Clearing Results'!G5</f>
        <v>0</v>
      </c>
      <c r="H13" s="185">
        <f>G13/B13</f>
        <v>0</v>
      </c>
      <c r="I13" s="37">
        <f>'BRA Resource Clearing Results'!J73+'1stIA Resource Clearing Results'!I81</f>
        <v>0</v>
      </c>
      <c r="J13" s="184">
        <f>I13/B13</f>
        <v>0</v>
      </c>
      <c r="K13" s="186">
        <f aca="true" t="shared" si="0" ref="K13:K20">C13+D13+F13+H13+J13</f>
        <v>97.61042274272533</v>
      </c>
      <c r="L13" s="419"/>
    </row>
    <row r="14" spans="1:12" ht="12.75">
      <c r="A14" s="226" t="s">
        <v>29</v>
      </c>
      <c r="B14" s="418">
        <f>J40+J44+J50+(SUM(J52:J59))</f>
        <v>65558.30578847071</v>
      </c>
      <c r="C14" s="185">
        <f aca="true" t="shared" si="1" ref="C14:C20">$C$13</f>
        <v>100.4986934466122</v>
      </c>
      <c r="D14" s="185">
        <f>D13+('BRA Resource Clearing Results'!E30*'BRA Resource Clearing Results'!C6-'1stIA Resource Clearing Results'!M30*'1stIA Resource Clearing Results'!C6)/('BRA Resource Clearing Results'!E30-'1stIA Resource Clearing Results'!M30)</f>
        <v>0</v>
      </c>
      <c r="E14" s="112">
        <f>('BRA Resource Clearing Results'!C30+'BRA Resource Clearing Results'!D30)*('BRA Resource Clearing Results'!E6-'BRA Resource Clearing Results'!E5)-('1stIA Resource Clearing Results'!K30+'1stIA Resource Clearing Results'!L30)*('1stIA Resource Clearing Results'!E6-'1stIA Resource Clearing Results'!E5)</f>
        <v>0</v>
      </c>
      <c r="F14" s="185">
        <f>F13+(E14/B14)</f>
        <v>-2.888270703886867</v>
      </c>
      <c r="G14" s="112">
        <f>'BRA Resource Clearing Results'!D30*('BRA Resource Clearing Results'!G6-'BRA Resource Clearing Results'!G5)-'1stIA Resource Clearing Results'!L30*('1stIA Resource Clearing Results'!G6-'1stIA Resource Clearing Results'!G5)</f>
        <v>0</v>
      </c>
      <c r="H14" s="185">
        <f>H13+(G14/B14)</f>
        <v>0</v>
      </c>
      <c r="I14" s="37">
        <f>'BRA Resource Clearing Results'!J74+'1stIA Resource Clearing Results'!I82</f>
        <v>0</v>
      </c>
      <c r="J14" s="184">
        <f>J13+I14/B14</f>
        <v>0</v>
      </c>
      <c r="K14" s="186">
        <f t="shared" si="0"/>
        <v>97.61042274272533</v>
      </c>
      <c r="L14" s="419"/>
    </row>
    <row r="15" spans="1:12" ht="12.75">
      <c r="A15" s="226" t="s">
        <v>35</v>
      </c>
      <c r="B15" s="418">
        <f>J40+J50+J52+J54+J58+J59</f>
        <v>35634.56110197087</v>
      </c>
      <c r="C15" s="185">
        <f t="shared" si="1"/>
        <v>100.4986934466122</v>
      </c>
      <c r="D15" s="185">
        <f>D14+('BRA Resource Clearing Results'!E31*'BRA Resource Clearing Results'!C7-'1stIA Resource Clearing Results'!M31*'1stIA Resource Clearing Results'!C7)/('BRA Resource Clearing Results'!E31-'1stIA Resource Clearing Results'!M31)</f>
        <v>19.872845258067052</v>
      </c>
      <c r="E15" s="112">
        <f>('BRA Resource Clearing Results'!C31+'BRA Resource Clearing Results'!D31)*('BRA Resource Clearing Results'!E7-'BRA Resource Clearing Results'!E6)-('1stIA Resource Clearing Results'!K31+'1stIA Resource Clearing Results'!L31)*('1stIA Resource Clearing Results'!E7-'1stIA Resource Clearing Results'!E6)</f>
        <v>0</v>
      </c>
      <c r="F15" s="185">
        <f>F14+(E15/B15)</f>
        <v>-2.888270703886867</v>
      </c>
      <c r="G15" s="112">
        <f>'BRA Resource Clearing Results'!D31*('BRA Resource Clearing Results'!G7-'BRA Resource Clearing Results'!G6)-'1stIA Resource Clearing Results'!L31*('1stIA Resource Clearing Results'!G7-'1stIA Resource Clearing Results'!G6)</f>
        <v>0</v>
      </c>
      <c r="H15" s="185">
        <f>H14+(G15/B15)</f>
        <v>0</v>
      </c>
      <c r="I15" s="37">
        <f>'BRA Resource Clearing Results'!J75+'1stIA Resource Clearing Results'!I83</f>
        <v>0</v>
      </c>
      <c r="J15" s="184">
        <f>J14+I15/B15</f>
        <v>0</v>
      </c>
      <c r="K15" s="186">
        <f t="shared" si="0"/>
        <v>117.48326800079238</v>
      </c>
      <c r="L15" s="419"/>
    </row>
    <row r="16" spans="1:12" ht="12.75">
      <c r="A16" s="226" t="s">
        <v>5</v>
      </c>
      <c r="B16" s="418">
        <f>J44+J56</f>
        <v>15058.122058117406</v>
      </c>
      <c r="C16" s="185">
        <f t="shared" si="1"/>
        <v>100.4986934466122</v>
      </c>
      <c r="D16" s="185">
        <f>D14+('BRA Resource Clearing Results'!E32*'BRA Resource Clearing Results'!C8-'1stIA Resource Clearing Results'!M32*'1stIA Resource Clearing Results'!C8)/('BRA Resource Clearing Results'!E32-'1stIA Resource Clearing Results'!M32)</f>
        <v>0</v>
      </c>
      <c r="E16" s="112">
        <f>('BRA Resource Clearing Results'!C32+'BRA Resource Clearing Results'!D32)*('BRA Resource Clearing Results'!E8-'BRA Resource Clearing Results'!E6)-('1stIA Resource Clearing Results'!K32+'1stIA Resource Clearing Results'!L32)*('1stIA Resource Clearing Results'!E8-'1stIA Resource Clearing Results'!E6)</f>
        <v>0</v>
      </c>
      <c r="F16" s="185">
        <f>F14+(E16/B16)</f>
        <v>-2.888270703886867</v>
      </c>
      <c r="G16" s="112">
        <f>'BRA Resource Clearing Results'!D32*('BRA Resource Clearing Results'!G8-'BRA Resource Clearing Results'!G6)-'1stIA Resource Clearing Results'!L32*('1stIA Resource Clearing Results'!G8-'1stIA Resource Clearing Results'!G6)</f>
        <v>0</v>
      </c>
      <c r="H16" s="185">
        <f>H14+(G16/B16)</f>
        <v>0</v>
      </c>
      <c r="I16" s="37">
        <f>'BRA Resource Clearing Results'!J76+'1stIA Resource Clearing Results'!I84</f>
        <v>0</v>
      </c>
      <c r="J16" s="184">
        <f>J14+I16/B16</f>
        <v>0</v>
      </c>
      <c r="K16" s="186">
        <f t="shared" si="0"/>
        <v>97.61042274272533</v>
      </c>
      <c r="L16" s="419"/>
    </row>
    <row r="17" spans="1:12" ht="12.75">
      <c r="A17" s="226" t="s">
        <v>15</v>
      </c>
      <c r="B17" s="418">
        <f>J56</f>
        <v>7381.478132928552</v>
      </c>
      <c r="C17" s="185">
        <f t="shared" si="1"/>
        <v>100.4986934466122</v>
      </c>
      <c r="D17" s="185">
        <f>D16+('BRA Resource Clearing Results'!E36*'BRA Resource Clearing Results'!C12-'1stIA Resource Clearing Results'!M36*'1stIA Resource Clearing Results'!C12)/('BRA Resource Clearing Results'!E36-'1stIA Resource Clearing Results'!M36)</f>
        <v>0</v>
      </c>
      <c r="E17" s="112">
        <f>('BRA Resource Clearing Results'!C36+'BRA Resource Clearing Results'!D36)*('BRA Resource Clearing Results'!E12-'BRA Resource Clearing Results'!E8)-('1stIA Resource Clearing Results'!K36+'1stIA Resource Clearing Results'!L36)*('1stIA Resource Clearing Results'!E12-'1stIA Resource Clearing Results'!E8)</f>
        <v>0</v>
      </c>
      <c r="F17" s="185">
        <f>F16+(E17/B17)</f>
        <v>-2.888270703886867</v>
      </c>
      <c r="G17" s="112">
        <f>'BRA Resource Clearing Results'!D36*('BRA Resource Clearing Results'!G12-'BRA Resource Clearing Results'!G8)-'1stIA Resource Clearing Results'!L36*('1stIA Resource Clearing Results'!G12-'1stIA Resource Clearing Results'!G8)</f>
        <v>-37955.255</v>
      </c>
      <c r="H17" s="185">
        <f>H16+(G17/B17)</f>
        <v>-5.141958604562241</v>
      </c>
      <c r="I17" s="37">
        <f>'BRA Resource Clearing Results'!J80+'1stIA Resource Clearing Results'!I88</f>
        <v>0</v>
      </c>
      <c r="J17" s="184">
        <f>J16+I17/B17</f>
        <v>0</v>
      </c>
      <c r="K17" s="186">
        <f t="shared" si="0"/>
        <v>92.46846413816309</v>
      </c>
      <c r="L17" s="419"/>
    </row>
    <row r="18" spans="1:12" ht="12.75">
      <c r="A18" s="226" t="s">
        <v>20</v>
      </c>
      <c r="B18" s="418">
        <f>J45</f>
        <v>25311.925015333945</v>
      </c>
      <c r="C18" s="185">
        <f t="shared" si="1"/>
        <v>100.4986934466122</v>
      </c>
      <c r="D18" s="185">
        <f>D13+('BRA Resource Clearing Results'!E39*'BRA Resource Clearing Results'!C15-'1stIA Resource Clearing Results'!M39*'1stIA Resource Clearing Results'!C15)/('BRA Resource Clearing Results'!E39-'1stIA Resource Clearing Results'!M39)</f>
        <v>100.90186983634443</v>
      </c>
      <c r="E18" s="112">
        <f>('BRA Resource Clearing Results'!C39+'BRA Resource Clearing Results'!D39)*('BRA Resource Clearing Results'!E15-'BRA Resource Clearing Results'!E5)-('1stIA Resource Clearing Results'!K39+'1stIA Resource Clearing Results'!L39)*('1stIA Resource Clearing Results'!E15-'1stIA Resource Clearing Results'!E5)</f>
        <v>0</v>
      </c>
      <c r="F18" s="185">
        <f>F13+(E18/B18)</f>
        <v>-2.888270703886867</v>
      </c>
      <c r="G18" s="112">
        <f>'BRA Resource Clearing Results'!D39*('BRA Resource Clearing Results'!G15-'BRA Resource Clearing Results'!G5)-'1stIA Resource Clearing Results'!L39*('1stIA Resource Clearing Results'!G15-'1stIA Resource Clearing Results'!G5)</f>
        <v>0</v>
      </c>
      <c r="H18" s="185">
        <f>H13+(G18/B18)</f>
        <v>0</v>
      </c>
      <c r="I18" s="37">
        <f>'BRA Resource Clearing Results'!J83+'1stIA Resource Clearing Results'!I91</f>
        <v>0</v>
      </c>
      <c r="J18" s="184">
        <f>J13+I18/B18</f>
        <v>0</v>
      </c>
      <c r="K18" s="186">
        <f t="shared" si="0"/>
        <v>198.51229257906976</v>
      </c>
      <c r="L18" s="419"/>
    </row>
    <row r="19" spans="1:12" ht="12.75">
      <c r="A19" s="226" t="s">
        <v>11</v>
      </c>
      <c r="B19" s="418">
        <f>J44</f>
        <v>7676.643925188852</v>
      </c>
      <c r="C19" s="185">
        <f t="shared" si="1"/>
        <v>100.4986934466122</v>
      </c>
      <c r="D19" s="185">
        <f>D16+('BRA Resource Clearing Results'!E40*'BRA Resource Clearing Results'!C16-'1stIA Resource Clearing Results'!M40*'1stIA Resource Clearing Results'!C16)/('BRA Resource Clearing Results'!E40-'1stIA Resource Clearing Results'!M40)</f>
        <v>0.3154531148044371</v>
      </c>
      <c r="E19" s="112">
        <f>('BRA Resource Clearing Results'!C40+'BRA Resource Clearing Results'!D40)*('BRA Resource Clearing Results'!E16-'BRA Resource Clearing Results'!E8)-('1stIA Resource Clearing Results'!K40+'1stIA Resource Clearing Results'!L40)*('1stIA Resource Clearing Results'!E16-'1stIA Resource Clearing Results'!E8)</f>
        <v>0</v>
      </c>
      <c r="F19" s="185">
        <f>F16+(E19/B19)</f>
        <v>-2.888270703886867</v>
      </c>
      <c r="G19" s="112">
        <f>'BRA Resource Clearing Results'!D40*('BRA Resource Clearing Results'!G16-'BRA Resource Clearing Results'!G8)-'1stIA Resource Clearing Results'!L40*('1stIA Resource Clearing Results'!G16-'1stIA Resource Clearing Results'!G8)</f>
        <v>0</v>
      </c>
      <c r="H19" s="185">
        <f>H16+(G19/B19)</f>
        <v>0</v>
      </c>
      <c r="I19" s="37">
        <f>'BRA Resource Clearing Results'!J84+'1stIA Resource Clearing Results'!I92</f>
        <v>0</v>
      </c>
      <c r="J19" s="184">
        <f>J16+I19/B19</f>
        <v>0</v>
      </c>
      <c r="K19" s="186">
        <f t="shared" si="0"/>
        <v>97.92587585752977</v>
      </c>
      <c r="L19" s="419"/>
    </row>
    <row r="20" spans="1:12" ht="12.75">
      <c r="A20" s="226" t="s">
        <v>10</v>
      </c>
      <c r="B20" s="418">
        <f>J57</f>
        <v>8276.308815393575</v>
      </c>
      <c r="C20" s="185">
        <f t="shared" si="1"/>
        <v>100.4986934466122</v>
      </c>
      <c r="D20" s="185">
        <f>D14+('BRA Resource Clearing Results'!E41*'BRA Resource Clearing Results'!C17-'1stIA Resource Clearing Results'!M41*'1stIA Resource Clearing Results'!C17)/('BRA Resource Clearing Results'!E41-'1stIA Resource Clearing Results'!M41)</f>
        <v>0</v>
      </c>
      <c r="E20" s="112">
        <f>('BRA Resource Clearing Results'!C41+'BRA Resource Clearing Results'!D41)*('BRA Resource Clearing Results'!E17-'BRA Resource Clearing Results'!E6)-('1stIA Resource Clearing Results'!K41+'1stIA Resource Clearing Results'!L41)*('1stIA Resource Clearing Results'!E17-'1stIA Resource Clearing Results'!E6)</f>
        <v>0</v>
      </c>
      <c r="F20" s="185">
        <f>F14+(E20/B20)</f>
        <v>-2.888270703886867</v>
      </c>
      <c r="G20" s="112">
        <f>'BRA Resource Clearing Results'!D41*('BRA Resource Clearing Results'!G17-'BRA Resource Clearing Results'!G6)-'1stIA Resource Clearing Results'!L41*('1stIA Resource Clearing Results'!G17-'1stIA Resource Clearing Results'!G6)</f>
        <v>0</v>
      </c>
      <c r="H20" s="185">
        <f>H13+(G20/B20)</f>
        <v>0</v>
      </c>
      <c r="I20" s="37">
        <f>'BRA Resource Clearing Results'!J85+'1stIA Resource Clearing Results'!I93</f>
        <v>0</v>
      </c>
      <c r="J20" s="184">
        <f>J14+I20/B20</f>
        <v>0</v>
      </c>
      <c r="K20" s="186">
        <f t="shared" si="0"/>
        <v>97.61042274272533</v>
      </c>
      <c r="L20" s="419"/>
    </row>
    <row r="21" spans="1:12" ht="12.75">
      <c r="A21" s="25" t="s">
        <v>90</v>
      </c>
      <c r="B21" s="36"/>
      <c r="C21" s="59"/>
      <c r="D21" s="420" t="s">
        <v>24</v>
      </c>
      <c r="E21" s="421" t="s">
        <v>24</v>
      </c>
      <c r="F21" s="61"/>
      <c r="G21" s="56" t="s">
        <v>24</v>
      </c>
      <c r="H21" s="35"/>
      <c r="I21" s="35"/>
      <c r="J21" s="422"/>
      <c r="K21" s="35"/>
      <c r="L21" s="402"/>
    </row>
    <row r="22" spans="1:12" ht="12.75">
      <c r="A22" s="423" t="s">
        <v>24</v>
      </c>
      <c r="B22" s="364"/>
      <c r="C22" s="391"/>
      <c r="D22" s="391"/>
      <c r="E22" s="391"/>
      <c r="F22" s="392"/>
      <c r="H22" s="364"/>
      <c r="I22" s="364"/>
      <c r="J22" s="391"/>
      <c r="K22" s="364"/>
      <c r="L22" s="402"/>
    </row>
    <row r="23" spans="1:12" ht="12.75">
      <c r="A23" s="423"/>
      <c r="B23" s="364"/>
      <c r="C23" s="391"/>
      <c r="D23" s="391"/>
      <c r="E23" s="391"/>
      <c r="F23" s="392"/>
      <c r="H23" s="364"/>
      <c r="I23" s="364"/>
      <c r="J23" s="391"/>
      <c r="K23" s="364"/>
      <c r="L23" s="402"/>
    </row>
    <row r="24" spans="1:12" ht="30" customHeight="1">
      <c r="A24" s="424" t="s">
        <v>133</v>
      </c>
      <c r="B24" s="4"/>
      <c r="C24" s="4" t="s">
        <v>24</v>
      </c>
      <c r="D24" s="425" t="s">
        <v>24</v>
      </c>
      <c r="E24" s="426" t="s">
        <v>24</v>
      </c>
      <c r="F24" s="4"/>
      <c r="G24" s="4"/>
      <c r="H24" s="4"/>
      <c r="I24" s="4"/>
      <c r="J24" s="14" t="s">
        <v>24</v>
      </c>
      <c r="K24" s="427" t="s">
        <v>24</v>
      </c>
      <c r="L24" s="4"/>
    </row>
    <row r="25" spans="1:12" ht="102">
      <c r="A25" s="231" t="s">
        <v>60</v>
      </c>
      <c r="B25" s="227" t="s">
        <v>288</v>
      </c>
      <c r="C25" s="227" t="s">
        <v>289</v>
      </c>
      <c r="D25" s="203" t="s">
        <v>290</v>
      </c>
      <c r="E25" s="227" t="s">
        <v>189</v>
      </c>
      <c r="F25" s="227" t="s">
        <v>190</v>
      </c>
      <c r="G25" s="227" t="s">
        <v>218</v>
      </c>
      <c r="H25" s="227" t="s">
        <v>219</v>
      </c>
      <c r="I25" s="203" t="s">
        <v>191</v>
      </c>
      <c r="J25" s="203" t="s">
        <v>168</v>
      </c>
      <c r="K25" s="203" t="s">
        <v>291</v>
      </c>
      <c r="L25" s="4"/>
    </row>
    <row r="26" spans="1:12" ht="12.75">
      <c r="A26" s="226" t="s">
        <v>39</v>
      </c>
      <c r="B26" s="226"/>
      <c r="C26" s="418">
        <f>'BRA Resource Clearing Results'!E55-'1stIA Resource Clearing Results'!M67</f>
        <v>2224.5</v>
      </c>
      <c r="D26" s="112">
        <f>('BRA Resource Clearing Results'!E33*'BRA Resource Clearing Results'!C9-'1stIA Resource Clearing Results'!M33*'1stIA Resource Clearing Results'!C9)/('BRA Resource Clearing Results'!E33-'1stIA Resource Clearing Results'!M33)</f>
        <v>0</v>
      </c>
      <c r="E26" s="112">
        <f>('BRA Resource Clearing Results'!C55+'BRA Resource Clearing Results'!D55)*('BRA Resource Clearing Results'!E9-'BRA Resource Clearing Results'!E7)-('1stIA Resource Clearing Results'!K67+'1stIA Resource Clearing Results'!L67)*('1stIA Resource Clearing Results'!E9-'1stIA Resource Clearing Results'!E7)</f>
        <v>0</v>
      </c>
      <c r="F26" s="33"/>
      <c r="G26" s="495">
        <f>'BRA Resource Clearing Results'!D55*('BRA Resource Clearing Results'!G9-'BRA Resource Clearing Results'!G7)-'1stIA Resource Clearing Results'!L67*('1stIA Resource Clearing Results'!G9-'1stIA Resource Clearing Results'!G7)</f>
        <v>0</v>
      </c>
      <c r="H26" s="33"/>
      <c r="I26" s="37">
        <f>'BRA Resource Clearing Results'!J77+'1stIA Resource Clearing Results'!I85</f>
        <v>0</v>
      </c>
      <c r="J26" s="226"/>
      <c r="K26" s="226"/>
      <c r="L26" s="4"/>
    </row>
    <row r="27" spans="1:12" ht="12.75">
      <c r="A27" s="226" t="s">
        <v>36</v>
      </c>
      <c r="B27" s="226"/>
      <c r="C27" s="418">
        <f>'BRA Resource Clearing Results'!E56-'1stIA Resource Clearing Results'!M68</f>
        <v>3208.5</v>
      </c>
      <c r="D27" s="112">
        <f>D26+('BRA Resource Clearing Results'!E34*'BRA Resource Clearing Results'!C10-'1stIA Resource Clearing Results'!M34*'1stIA Resource Clearing Results'!C10)/('BRA Resource Clearing Results'!E34-'1stIA Resource Clearing Results'!M34)</f>
        <v>0</v>
      </c>
      <c r="E27" s="112">
        <f>('BRA Resource Clearing Results'!C56+'BRA Resource Clearing Results'!D56)*('BRA Resource Clearing Results'!E10-'BRA Resource Clearing Results'!E7)-('1stIA Resource Clearing Results'!K68+'1stIA Resource Clearing Results'!L68)*('1stIA Resource Clearing Results'!E10-'1stIA Resource Clearing Results'!E7)</f>
        <v>0</v>
      </c>
      <c r="F27" s="33"/>
      <c r="G27" s="495">
        <f>'BRA Resource Clearing Results'!D56*('BRA Resource Clearing Results'!G10-'BRA Resource Clearing Results'!G7)-'1stIA Resource Clearing Results'!L68*('1stIA Resource Clearing Results'!G10-'1stIA Resource Clearing Results'!G7)</f>
        <v>0</v>
      </c>
      <c r="H27" s="33"/>
      <c r="I27" s="37">
        <f>'BRA Resource Clearing Results'!J78+'1stIA Resource Clearing Results'!I86</f>
        <v>2826.572</v>
      </c>
      <c r="J27" s="226"/>
      <c r="K27" s="226"/>
      <c r="L27" s="4"/>
    </row>
    <row r="28" spans="1:12" ht="12.75">
      <c r="A28" s="74" t="s">
        <v>8</v>
      </c>
      <c r="B28" s="183">
        <f>K15</f>
        <v>117.48326800079238</v>
      </c>
      <c r="C28" s="47">
        <f>C27+C26</f>
        <v>5433</v>
      </c>
      <c r="D28" s="428">
        <f>(C27*D27+C26*D26)/C28</f>
        <v>0</v>
      </c>
      <c r="E28" s="429">
        <f>E26+E27</f>
        <v>0</v>
      </c>
      <c r="F28" s="428">
        <f>E28/J58</f>
        <v>0</v>
      </c>
      <c r="G28" s="496">
        <f>G26+G27</f>
        <v>0</v>
      </c>
      <c r="H28" s="428">
        <f>G28/J58</f>
        <v>0</v>
      </c>
      <c r="I28" s="430">
        <f>I26+I27</f>
        <v>2826.572</v>
      </c>
      <c r="J28" s="431">
        <f>I28/J58</f>
        <v>0.2501583043150138</v>
      </c>
      <c r="K28" s="432">
        <f>B28+D28+F28+H28+J28</f>
        <v>117.73342630510739</v>
      </c>
      <c r="L28" s="433"/>
    </row>
    <row r="29" spans="1:12" ht="12.75">
      <c r="A29" s="226" t="s">
        <v>38</v>
      </c>
      <c r="B29" s="226"/>
      <c r="C29" s="47">
        <v>3401.7</v>
      </c>
      <c r="D29" s="33">
        <v>0</v>
      </c>
      <c r="E29" s="33">
        <v>0</v>
      </c>
      <c r="F29" s="33"/>
      <c r="G29" s="497">
        <v>0</v>
      </c>
      <c r="H29" s="33"/>
      <c r="I29" s="37">
        <v>0</v>
      </c>
      <c r="J29" s="226"/>
      <c r="K29" s="54"/>
      <c r="L29" s="4"/>
    </row>
    <row r="30" spans="1:12" ht="12.75">
      <c r="A30" s="226" t="s">
        <v>37</v>
      </c>
      <c r="B30" s="226"/>
      <c r="C30" s="418">
        <f>'BRA Resource Clearing Results'!E57-'1stIA Resource Clearing Results'!M69</f>
        <v>1584.8</v>
      </c>
      <c r="D30" s="112">
        <f>('BRA Resource Clearing Results'!E35*'BRA Resource Clearing Results'!C11-'1stIA Resource Clearing Results'!M35*'1stIA Resource Clearing Results'!C11)/('BRA Resource Clearing Results'!E35-'1stIA Resource Clearing Results'!M35)</f>
        <v>0</v>
      </c>
      <c r="E30" s="112">
        <f>('BRA Resource Clearing Results'!C57+'BRA Resource Clearing Results'!D57)*('BRA Resource Clearing Results'!E11-'BRA Resource Clearing Results'!E7)-('1stIA Resource Clearing Results'!K69+'1stIA Resource Clearing Results'!L69)*('1stIA Resource Clearing Results'!E11-'1stIA Resource Clearing Results'!E7)</f>
        <v>0</v>
      </c>
      <c r="F30" s="93"/>
      <c r="G30" s="495">
        <f>'BRA Resource Clearing Results'!D57*('BRA Resource Clearing Results'!G11-'BRA Resource Clearing Results'!G7)-'1stIA Resource Clearing Results'!L69*('1stIA Resource Clearing Results'!G11-'1stIA Resource Clearing Results'!G7)</f>
        <v>0</v>
      </c>
      <c r="H30" s="93"/>
      <c r="I30" s="37">
        <f>'BRA Resource Clearing Results'!J79+'1stIA Resource Clearing Results'!I87</f>
        <v>0</v>
      </c>
      <c r="J30" s="226"/>
      <c r="K30" s="54"/>
      <c r="L30" s="4"/>
    </row>
    <row r="31" spans="1:12" ht="12.75">
      <c r="A31" s="74" t="s">
        <v>17</v>
      </c>
      <c r="B31" s="183">
        <f>K15</f>
        <v>117.48326800079238</v>
      </c>
      <c r="C31" s="47">
        <f>C29+C30</f>
        <v>4986.5</v>
      </c>
      <c r="D31" s="428">
        <f>(C30*D30+C29*D29)/C31</f>
        <v>0</v>
      </c>
      <c r="E31" s="429">
        <f>E29+E30</f>
        <v>0</v>
      </c>
      <c r="F31" s="428">
        <f>E31/J50</f>
        <v>0</v>
      </c>
      <c r="G31" s="496">
        <f>G29+G30</f>
        <v>0</v>
      </c>
      <c r="H31" s="428">
        <f>G31/J50</f>
        <v>0</v>
      </c>
      <c r="I31" s="430">
        <f>I29+I30</f>
        <v>0</v>
      </c>
      <c r="J31" s="431">
        <f>I31/J50</f>
        <v>0</v>
      </c>
      <c r="K31" s="432">
        <f>B31+D31+F31+H31+J31</f>
        <v>117.48326800079238</v>
      </c>
      <c r="L31" s="433"/>
    </row>
    <row r="32" spans="1:12" ht="12.75">
      <c r="A32" s="226" t="s">
        <v>128</v>
      </c>
      <c r="B32" s="226"/>
      <c r="C32" s="418">
        <f>'BRA Resource Clearing Results'!E59-'1stIA Resource Clearing Results'!M71</f>
        <v>8294.300000000001</v>
      </c>
      <c r="D32" s="112">
        <f>('BRA Resource Clearing Results'!E37*'BRA Resource Clearing Results'!C13-'1stIA Resource Clearing Results'!M37*'1stIA Resource Clearing Results'!C13)/('BRA Resource Clearing Results'!E37-'1stIA Resource Clearing Results'!M37)</f>
        <v>0</v>
      </c>
      <c r="E32" s="112">
        <f>('BRA Resource Clearing Results'!C59+'BRA Resource Clearing Results'!D59)*('BRA Resource Clearing Results'!E13-'BRA Resource Clearing Results'!E5)-('1stIA Resource Clearing Results'!K71+'1stIA Resource Clearing Results'!L71)*('1stIA Resource Clearing Results'!E13-'1stIA Resource Clearing Results'!E5)</f>
        <v>0</v>
      </c>
      <c r="F32" s="33"/>
      <c r="G32" s="495">
        <f>'BRA Resource Clearing Results'!D59*('BRA Resource Clearing Results'!G13-'BRA Resource Clearing Results'!G5)-'1stIA Resource Clearing Results'!L71*('1stIA Resource Clearing Results'!G13-'1stIA Resource Clearing Results'!G5)</f>
        <v>0</v>
      </c>
      <c r="H32" s="33"/>
      <c r="I32" s="37">
        <f>'BRA Resource Clearing Results'!J81+'1stIA Resource Clearing Results'!I89</f>
        <v>0</v>
      </c>
      <c r="J32" s="226"/>
      <c r="K32" s="54"/>
      <c r="L32" s="433"/>
    </row>
    <row r="33" spans="1:12" ht="12.75">
      <c r="A33" s="226" t="s">
        <v>127</v>
      </c>
      <c r="B33" s="226"/>
      <c r="C33" s="418">
        <f>'BRA Resource Clearing Results'!E60-'1stIA Resource Clearing Results'!M72</f>
        <v>2133.6</v>
      </c>
      <c r="D33" s="112">
        <f>('BRA Resource Clearing Results'!E38*'BRA Resource Clearing Results'!C14-'1stIA Resource Clearing Results'!M38*'1stIA Resource Clearing Results'!C14)/('BRA Resource Clearing Results'!E38-'1stIA Resource Clearing Results'!M38)</f>
        <v>0</v>
      </c>
      <c r="E33" s="112">
        <f>('BRA Resource Clearing Results'!C60+'BRA Resource Clearing Results'!D60)*('BRA Resource Clearing Results'!E14-'BRA Resource Clearing Results'!E5)-('1stIA Resource Clearing Results'!K72+'1stIA Resource Clearing Results'!L72)*('1stIA Resource Clearing Results'!E14-'1stIA Resource Clearing Results'!E5)</f>
        <v>0</v>
      </c>
      <c r="F33" s="93"/>
      <c r="G33" s="495">
        <f>'BRA Resource Clearing Results'!D60*('BRA Resource Clearing Results'!G14-'BRA Resource Clearing Results'!G5)-'1stIA Resource Clearing Results'!L72*('1stIA Resource Clearing Results'!G14-'1stIA Resource Clearing Results'!G5)</f>
        <v>0</v>
      </c>
      <c r="H33" s="93"/>
      <c r="I33" s="37">
        <f>'BRA Resource Clearing Results'!J82+'1stIA Resource Clearing Results'!I90</f>
        <v>0</v>
      </c>
      <c r="J33" s="226"/>
      <c r="K33" s="54"/>
      <c r="L33" s="433"/>
    </row>
    <row r="34" spans="1:12" ht="12.75">
      <c r="A34" s="74" t="s">
        <v>45</v>
      </c>
      <c r="B34" s="183">
        <f>K13</f>
        <v>97.61042274272533</v>
      </c>
      <c r="C34" s="47">
        <f>C32+C33</f>
        <v>10427.900000000001</v>
      </c>
      <c r="D34" s="428">
        <f>(C33*D33+C32*D32)/C34</f>
        <v>0</v>
      </c>
      <c r="E34" s="429">
        <f>E32+E33</f>
        <v>0</v>
      </c>
      <c r="F34" s="428">
        <f>E34/J43</f>
        <v>0</v>
      </c>
      <c r="G34" s="496">
        <f>G32+G33</f>
        <v>0</v>
      </c>
      <c r="H34" s="428">
        <f>G34/J43</f>
        <v>0</v>
      </c>
      <c r="I34" s="430">
        <f>I32+I33</f>
        <v>0</v>
      </c>
      <c r="J34" s="431">
        <f>I34/J43</f>
        <v>0</v>
      </c>
      <c r="K34" s="432">
        <f>B34+D34+F34+H34+J34</f>
        <v>97.61042274272533</v>
      </c>
      <c r="L34" s="433"/>
    </row>
    <row r="35" spans="1:12" ht="12.75" customHeight="1">
      <c r="A35" s="688" t="s">
        <v>292</v>
      </c>
      <c r="B35" s="688"/>
      <c r="C35" s="688"/>
      <c r="D35" s="688"/>
      <c r="E35" s="435" t="s">
        <v>24</v>
      </c>
      <c r="F35" s="434"/>
      <c r="G35" s="434"/>
      <c r="H35" s="434"/>
      <c r="I35" s="337"/>
      <c r="J35" s="337"/>
      <c r="K35" s="436"/>
      <c r="L35" s="433"/>
    </row>
    <row r="36" spans="1:12" ht="12.75">
      <c r="A36" s="423" t="s">
        <v>24</v>
      </c>
      <c r="B36" s="423"/>
      <c r="C36" s="423"/>
      <c r="D36" s="423"/>
      <c r="E36" s="423" t="s">
        <v>24</v>
      </c>
      <c r="F36" s="423" t="s">
        <v>24</v>
      </c>
      <c r="G36" s="423" t="s">
        <v>24</v>
      </c>
      <c r="H36" s="16"/>
      <c r="I36" s="16"/>
      <c r="J36" s="16"/>
      <c r="K36" s="16"/>
      <c r="L36" s="4"/>
    </row>
    <row r="37" spans="1:12" ht="12.75">
      <c r="A37" s="7"/>
      <c r="B37" s="393"/>
      <c r="C37" s="393" t="s">
        <v>24</v>
      </c>
      <c r="D37" s="393" t="s">
        <v>24</v>
      </c>
      <c r="E37" s="400" t="s">
        <v>24</v>
      </c>
      <c r="F37" s="437" t="s">
        <v>24</v>
      </c>
      <c r="G37" s="438"/>
      <c r="H37" s="438"/>
      <c r="I37" s="438"/>
      <c r="J37" s="438"/>
      <c r="K37" s="438"/>
      <c r="L37" s="439"/>
    </row>
    <row r="38" spans="1:12" ht="18.75">
      <c r="A38" s="440" t="s">
        <v>293</v>
      </c>
      <c r="B38" s="3"/>
      <c r="C38" s="2"/>
      <c r="D38" s="2"/>
      <c r="E38" s="441"/>
      <c r="F38" s="441"/>
      <c r="G38" s="442"/>
      <c r="H38" s="441"/>
      <c r="I38" s="441"/>
      <c r="J38" s="441"/>
      <c r="K38" s="441"/>
      <c r="L38" s="443"/>
    </row>
    <row r="39" spans="1:12" ht="51">
      <c r="A39" s="248" t="s">
        <v>7</v>
      </c>
      <c r="B39" s="248" t="s">
        <v>28</v>
      </c>
      <c r="C39" s="248" t="s">
        <v>27</v>
      </c>
      <c r="D39" s="248" t="s">
        <v>33</v>
      </c>
      <c r="E39" s="248" t="s">
        <v>318</v>
      </c>
      <c r="F39" s="248" t="s">
        <v>22</v>
      </c>
      <c r="G39" s="248" t="s">
        <v>319</v>
      </c>
      <c r="H39" s="444" t="s">
        <v>23</v>
      </c>
      <c r="I39" s="444" t="s">
        <v>294</v>
      </c>
      <c r="J39" s="64" t="s">
        <v>295</v>
      </c>
      <c r="K39" s="445" t="s">
        <v>296</v>
      </c>
      <c r="L39" s="248" t="s">
        <v>7</v>
      </c>
    </row>
    <row r="40" spans="1:12" ht="12.75">
      <c r="A40" s="226" t="s">
        <v>16</v>
      </c>
      <c r="B40" s="101" t="s">
        <v>29</v>
      </c>
      <c r="C40" s="101" t="s">
        <v>35</v>
      </c>
      <c r="D40" s="101"/>
      <c r="E40" s="446">
        <v>2460</v>
      </c>
      <c r="F40" s="447">
        <f>G40/E40</f>
        <v>0.9707317073170731</v>
      </c>
      <c r="G40" s="448">
        <v>2388</v>
      </c>
      <c r="H40" s="103">
        <f>$B$8</f>
        <v>1.0711193633079539</v>
      </c>
      <c r="I40" s="103">
        <f aca="true" t="shared" si="2" ref="I40:I59">H40*F40</f>
        <v>1.0397695282843065</v>
      </c>
      <c r="J40" s="449">
        <f>E40*I40*$B$6</f>
        <v>2785.9917467098753</v>
      </c>
      <c r="K40" s="219">
        <f>K15</f>
        <v>117.48326800079238</v>
      </c>
      <c r="L40" s="249" t="s">
        <v>16</v>
      </c>
    </row>
    <row r="41" spans="1:12" ht="12.75">
      <c r="A41" s="226" t="s">
        <v>297</v>
      </c>
      <c r="B41" s="101"/>
      <c r="C41" s="101"/>
      <c r="D41" s="101"/>
      <c r="E41" s="450">
        <v>10694.9</v>
      </c>
      <c r="F41" s="447">
        <v>1.0031362007168458</v>
      </c>
      <c r="G41" s="451">
        <f>E41*F41</f>
        <v>10728.441353046594</v>
      </c>
      <c r="H41" s="103">
        <f aca="true" t="shared" si="3" ref="H41:H59">$B$8</f>
        <v>1.0711193633079539</v>
      </c>
      <c r="I41" s="103">
        <f t="shared" si="2"/>
        <v>1.0744786086229878</v>
      </c>
      <c r="J41" s="449">
        <f aca="true" t="shared" si="4" ref="J41:J59">E41*I41*$B$6</f>
        <v>12516.47783276748</v>
      </c>
      <c r="K41" s="219">
        <f>K13</f>
        <v>97.61042274272533</v>
      </c>
      <c r="L41" s="249" t="s">
        <v>30</v>
      </c>
    </row>
    <row r="42" spans="1:12" ht="12.75">
      <c r="A42" s="226" t="s">
        <v>19</v>
      </c>
      <c r="B42" s="101" t="s">
        <v>24</v>
      </c>
      <c r="C42" s="101"/>
      <c r="D42" s="101"/>
      <c r="E42" s="450">
        <v>8440</v>
      </c>
      <c r="F42" s="447">
        <f aca="true" t="shared" si="5" ref="F42:F59">G42/E42</f>
        <v>1.018127962085308</v>
      </c>
      <c r="G42" s="451">
        <v>8593</v>
      </c>
      <c r="H42" s="103">
        <f t="shared" si="3"/>
        <v>1.0711193633079539</v>
      </c>
      <c r="I42" s="103">
        <f t="shared" si="2"/>
        <v>1.0905365745148399</v>
      </c>
      <c r="J42" s="449">
        <f t="shared" si="4"/>
        <v>10025.136967955596</v>
      </c>
      <c r="K42" s="219">
        <f>K13</f>
        <v>97.61042274272533</v>
      </c>
      <c r="L42" s="249" t="s">
        <v>19</v>
      </c>
    </row>
    <row r="43" spans="1:12" ht="12.75">
      <c r="A43" s="226" t="s">
        <v>45</v>
      </c>
      <c r="B43" s="101"/>
      <c r="C43" s="101"/>
      <c r="D43" s="101" t="s">
        <v>45</v>
      </c>
      <c r="E43" s="450">
        <v>12660</v>
      </c>
      <c r="F43" s="447">
        <f t="shared" si="5"/>
        <v>0.9931279620853081</v>
      </c>
      <c r="G43" s="451">
        <v>12573</v>
      </c>
      <c r="H43" s="103">
        <f t="shared" si="3"/>
        <v>1.0711193633079539</v>
      </c>
      <c r="I43" s="103">
        <f t="shared" si="2"/>
        <v>1.063758590432141</v>
      </c>
      <c r="J43" s="449">
        <f t="shared" si="4"/>
        <v>14668.456545805388</v>
      </c>
      <c r="K43" s="219">
        <f>K34</f>
        <v>97.61042274272533</v>
      </c>
      <c r="L43" s="249" t="s">
        <v>45</v>
      </c>
    </row>
    <row r="44" spans="1:12" ht="12.75">
      <c r="A44" s="226" t="s">
        <v>11</v>
      </c>
      <c r="B44" s="101" t="s">
        <v>29</v>
      </c>
      <c r="C44" s="101" t="s">
        <v>5</v>
      </c>
      <c r="D44" s="249" t="s">
        <v>11</v>
      </c>
      <c r="E44" s="446">
        <v>6330</v>
      </c>
      <c r="F44" s="447">
        <f t="shared" si="5"/>
        <v>1.0394944707740916</v>
      </c>
      <c r="G44" s="451">
        <v>6580</v>
      </c>
      <c r="H44" s="103">
        <f t="shared" si="3"/>
        <v>1.0711193633079539</v>
      </c>
      <c r="I44" s="103">
        <f t="shared" si="2"/>
        <v>1.1134226556976834</v>
      </c>
      <c r="J44" s="449">
        <f t="shared" si="4"/>
        <v>7676.643925188852</v>
      </c>
      <c r="K44" s="219">
        <f>K19</f>
        <v>97.92587585752977</v>
      </c>
      <c r="L44" s="249" t="s">
        <v>11</v>
      </c>
    </row>
    <row r="45" spans="1:12" ht="12.75">
      <c r="A45" s="226" t="s">
        <v>20</v>
      </c>
      <c r="B45" s="101"/>
      <c r="C45" s="101"/>
      <c r="D45" s="249" t="s">
        <v>20</v>
      </c>
      <c r="E45" s="446">
        <v>20560</v>
      </c>
      <c r="F45" s="447">
        <f t="shared" si="5"/>
        <v>1.0552529182879378</v>
      </c>
      <c r="G45" s="451">
        <v>21696</v>
      </c>
      <c r="H45" s="103">
        <f t="shared" si="3"/>
        <v>1.0711193633079539</v>
      </c>
      <c r="I45" s="103">
        <f t="shared" si="2"/>
        <v>1.1303018339654363</v>
      </c>
      <c r="J45" s="449">
        <f t="shared" si="4"/>
        <v>25311.925015333945</v>
      </c>
      <c r="K45" s="219">
        <f>K18</f>
        <v>198.51229257906976</v>
      </c>
      <c r="L45" s="249" t="s">
        <v>20</v>
      </c>
    </row>
    <row r="46" spans="1:12" ht="12.75">
      <c r="A46" s="226" t="s">
        <v>21</v>
      </c>
      <c r="B46" s="101"/>
      <c r="C46" s="101"/>
      <c r="D46" s="101"/>
      <c r="E46" s="446">
        <v>3270</v>
      </c>
      <c r="F46" s="447">
        <f t="shared" si="5"/>
        <v>1.0177370030581039</v>
      </c>
      <c r="G46" s="448">
        <v>3328</v>
      </c>
      <c r="H46" s="103">
        <f t="shared" si="3"/>
        <v>1.0711193633079539</v>
      </c>
      <c r="I46" s="103">
        <f t="shared" si="2"/>
        <v>1.0901178107305414</v>
      </c>
      <c r="J46" s="449">
        <f t="shared" si="4"/>
        <v>3882.6551645939976</v>
      </c>
      <c r="K46" s="219">
        <f>K13</f>
        <v>97.61042274272533</v>
      </c>
      <c r="L46" s="249" t="s">
        <v>21</v>
      </c>
    </row>
    <row r="47" spans="1:12" ht="12.75">
      <c r="A47" s="226" t="s">
        <v>298</v>
      </c>
      <c r="B47" s="101"/>
      <c r="C47" s="101"/>
      <c r="D47" s="101"/>
      <c r="E47" s="446">
        <v>4197.4</v>
      </c>
      <c r="F47" s="447">
        <v>1.0673306772908366</v>
      </c>
      <c r="G47" s="451">
        <f>E47*F47</f>
        <v>4480.013784860557</v>
      </c>
      <c r="H47" s="103">
        <f t="shared" si="3"/>
        <v>1.0711193633079539</v>
      </c>
      <c r="I47" s="103">
        <f t="shared" si="2"/>
        <v>1.143238555498808</v>
      </c>
      <c r="J47" s="449">
        <f t="shared" si="4"/>
        <v>5226.667265396978</v>
      </c>
      <c r="K47" s="219">
        <f>K13</f>
        <v>97.61042274272533</v>
      </c>
      <c r="L47" s="249" t="s">
        <v>55</v>
      </c>
    </row>
    <row r="48" spans="1:12" ht="12.75">
      <c r="A48" s="226" t="s">
        <v>44</v>
      </c>
      <c r="B48" s="101"/>
      <c r="C48" s="101"/>
      <c r="D48" s="101"/>
      <c r="E48" s="446">
        <v>2750</v>
      </c>
      <c r="F48" s="447">
        <f t="shared" si="5"/>
        <v>1.010909090909091</v>
      </c>
      <c r="G48" s="448">
        <v>2780</v>
      </c>
      <c r="H48" s="103">
        <f t="shared" si="3"/>
        <v>1.0711193633079539</v>
      </c>
      <c r="I48" s="103">
        <f t="shared" si="2"/>
        <v>1.082804301816768</v>
      </c>
      <c r="J48" s="449">
        <f t="shared" si="4"/>
        <v>3243.3237252317645</v>
      </c>
      <c r="K48" s="219">
        <f>K13</f>
        <v>97.61042274272533</v>
      </c>
      <c r="L48" s="249" t="s">
        <v>44</v>
      </c>
    </row>
    <row r="49" spans="1:12" ht="12.75">
      <c r="A49" s="226" t="s">
        <v>31</v>
      </c>
      <c r="B49" s="101"/>
      <c r="C49" s="101"/>
      <c r="D49" s="101"/>
      <c r="E49" s="446">
        <v>18450</v>
      </c>
      <c r="F49" s="447">
        <f t="shared" si="5"/>
        <v>1.0551219512195122</v>
      </c>
      <c r="G49" s="448">
        <v>19467</v>
      </c>
      <c r="H49" s="103">
        <f t="shared" si="3"/>
        <v>1.0711193633079539</v>
      </c>
      <c r="I49" s="103">
        <f t="shared" si="2"/>
        <v>1.13016155260249</v>
      </c>
      <c r="J49" s="449">
        <f t="shared" si="4"/>
        <v>22711.432719095963</v>
      </c>
      <c r="K49" s="219">
        <f>K13</f>
        <v>97.61042274272533</v>
      </c>
      <c r="L49" s="249" t="s">
        <v>31</v>
      </c>
    </row>
    <row r="50" spans="1:12" ht="12.75">
      <c r="A50" s="226" t="s">
        <v>17</v>
      </c>
      <c r="B50" s="101" t="s">
        <v>29</v>
      </c>
      <c r="C50" s="101" t="s">
        <v>35</v>
      </c>
      <c r="D50" s="101" t="s">
        <v>17</v>
      </c>
      <c r="E50" s="446">
        <v>3740</v>
      </c>
      <c r="F50" s="447">
        <f t="shared" si="5"/>
        <v>1.036096256684492</v>
      </c>
      <c r="G50" s="448">
        <v>3875</v>
      </c>
      <c r="H50" s="103">
        <f t="shared" si="3"/>
        <v>1.0711193633079539</v>
      </c>
      <c r="I50" s="103">
        <f t="shared" si="2"/>
        <v>1.1097827627856474</v>
      </c>
      <c r="J50" s="449">
        <f t="shared" si="4"/>
        <v>4520.819940745715</v>
      </c>
      <c r="K50" s="219">
        <f>K31</f>
        <v>117.48326800079238</v>
      </c>
      <c r="L50" s="249" t="s">
        <v>17</v>
      </c>
    </row>
    <row r="51" spans="1:12" ht="12.75">
      <c r="A51" s="226" t="s">
        <v>299</v>
      </c>
      <c r="B51" s="101"/>
      <c r="C51" s="101"/>
      <c r="D51" s="101"/>
      <c r="E51" s="446">
        <v>2089.2</v>
      </c>
      <c r="F51" s="447">
        <v>1.0111702127659574</v>
      </c>
      <c r="G51" s="451">
        <f>E51*F51</f>
        <v>2112.536808510638</v>
      </c>
      <c r="H51" s="103">
        <f t="shared" si="3"/>
        <v>1.0711193633079539</v>
      </c>
      <c r="I51" s="103">
        <f t="shared" si="2"/>
        <v>1.0830839944938406</v>
      </c>
      <c r="J51" s="449">
        <f t="shared" si="4"/>
        <v>2464.618975348182</v>
      </c>
      <c r="K51" s="219">
        <f>K13</f>
        <v>97.61042274272533</v>
      </c>
      <c r="L51" s="249" t="s">
        <v>131</v>
      </c>
    </row>
    <row r="52" spans="1:12" ht="12.75">
      <c r="A52" s="226" t="s">
        <v>12</v>
      </c>
      <c r="B52" s="101" t="s">
        <v>29</v>
      </c>
      <c r="C52" s="101" t="s">
        <v>35</v>
      </c>
      <c r="D52" s="101"/>
      <c r="E52" s="446">
        <v>5650</v>
      </c>
      <c r="F52" s="447">
        <f t="shared" si="5"/>
        <v>1.0375221238938053</v>
      </c>
      <c r="G52" s="448">
        <v>5862</v>
      </c>
      <c r="H52" s="103">
        <f t="shared" si="3"/>
        <v>1.0711193633079539</v>
      </c>
      <c r="I52" s="103">
        <f t="shared" si="2"/>
        <v>1.1113100367630488</v>
      </c>
      <c r="J52" s="449">
        <f t="shared" si="4"/>
        <v>6838.979740039067</v>
      </c>
      <c r="K52" s="219">
        <f>K15</f>
        <v>117.48326800079238</v>
      </c>
      <c r="L52" s="249" t="s">
        <v>12</v>
      </c>
    </row>
    <row r="53" spans="1:12" ht="12.75">
      <c r="A53" s="226" t="s">
        <v>13</v>
      </c>
      <c r="B53" s="101" t="s">
        <v>29</v>
      </c>
      <c r="C53" s="101"/>
      <c r="D53" s="101"/>
      <c r="E53" s="446">
        <v>2850</v>
      </c>
      <c r="F53" s="447">
        <f t="shared" si="5"/>
        <v>1.0084210526315789</v>
      </c>
      <c r="G53" s="448">
        <v>2874</v>
      </c>
      <c r="H53" s="103">
        <f t="shared" si="3"/>
        <v>1.0711193633079539</v>
      </c>
      <c r="I53" s="103">
        <f t="shared" si="2"/>
        <v>1.0801393158410735</v>
      </c>
      <c r="J53" s="449">
        <f t="shared" si="4"/>
        <v>3352.990067020177</v>
      </c>
      <c r="K53" s="219">
        <f>K14</f>
        <v>97.61042274272533</v>
      </c>
      <c r="L53" s="249" t="s">
        <v>13</v>
      </c>
    </row>
    <row r="54" spans="1:12" ht="12.75">
      <c r="A54" s="226" t="s">
        <v>9</v>
      </c>
      <c r="B54" s="101" t="s">
        <v>29</v>
      </c>
      <c r="C54" s="101" t="s">
        <v>35</v>
      </c>
      <c r="D54" s="101"/>
      <c r="E54" s="446">
        <v>8120</v>
      </c>
      <c r="F54" s="447">
        <f t="shared" si="5"/>
        <v>1.0280788177339901</v>
      </c>
      <c r="G54" s="448">
        <v>8348</v>
      </c>
      <c r="H54" s="103">
        <f t="shared" si="3"/>
        <v>1.0711193633079539</v>
      </c>
      <c r="I54" s="103">
        <f t="shared" si="2"/>
        <v>1.1011951286816255</v>
      </c>
      <c r="J54" s="449">
        <f t="shared" si="4"/>
        <v>9739.304481379415</v>
      </c>
      <c r="K54" s="219">
        <f>K15</f>
        <v>117.48326800079238</v>
      </c>
      <c r="L54" s="249" t="s">
        <v>9</v>
      </c>
    </row>
    <row r="55" spans="1:12" ht="12.75">
      <c r="A55" s="226" t="s">
        <v>14</v>
      </c>
      <c r="B55" s="101" t="s">
        <v>29</v>
      </c>
      <c r="C55" s="101"/>
      <c r="D55" s="101"/>
      <c r="E55" s="446">
        <v>2770</v>
      </c>
      <c r="F55" s="447">
        <f t="shared" si="5"/>
        <v>1.0014440433212997</v>
      </c>
      <c r="G55" s="448">
        <v>2774</v>
      </c>
      <c r="H55" s="103">
        <f t="shared" si="3"/>
        <v>1.0711193633079539</v>
      </c>
      <c r="I55" s="103">
        <f t="shared" si="2"/>
        <v>1.0726661060708536</v>
      </c>
      <c r="J55" s="449">
        <f t="shared" si="4"/>
        <v>3236.3237459686748</v>
      </c>
      <c r="K55" s="219">
        <f>K14</f>
        <v>97.61042274272533</v>
      </c>
      <c r="L55" s="249" t="s">
        <v>14</v>
      </c>
    </row>
    <row r="56" spans="1:12" ht="12.75">
      <c r="A56" s="226" t="s">
        <v>15</v>
      </c>
      <c r="B56" s="101" t="s">
        <v>29</v>
      </c>
      <c r="C56" s="101" t="s">
        <v>5</v>
      </c>
      <c r="D56" s="101" t="s">
        <v>15</v>
      </c>
      <c r="E56" s="446">
        <v>6030</v>
      </c>
      <c r="F56" s="447">
        <f t="shared" si="5"/>
        <v>1.0492537313432835</v>
      </c>
      <c r="G56" s="448">
        <v>6327</v>
      </c>
      <c r="H56" s="103">
        <f t="shared" si="3"/>
        <v>1.0711193633079539</v>
      </c>
      <c r="I56" s="103">
        <f t="shared" si="2"/>
        <v>1.1238759886649128</v>
      </c>
      <c r="J56" s="449">
        <f t="shared" si="4"/>
        <v>7381.478132928552</v>
      </c>
      <c r="K56" s="219">
        <f>K17</f>
        <v>92.46846413816309</v>
      </c>
      <c r="L56" s="249" t="s">
        <v>15</v>
      </c>
    </row>
    <row r="57" spans="1:12" ht="12.75">
      <c r="A57" s="226" t="s">
        <v>10</v>
      </c>
      <c r="B57" s="101" t="s">
        <v>29</v>
      </c>
      <c r="C57" s="101"/>
      <c r="D57" s="249" t="s">
        <v>10</v>
      </c>
      <c r="E57" s="446">
        <f>6680+190</f>
        <v>6870</v>
      </c>
      <c r="F57" s="447">
        <f t="shared" si="5"/>
        <v>1.0326055312954876</v>
      </c>
      <c r="G57" s="448">
        <f>6910+184</f>
        <v>7094</v>
      </c>
      <c r="H57" s="103">
        <f t="shared" si="3"/>
        <v>1.0711193633079539</v>
      </c>
      <c r="I57" s="103">
        <f t="shared" si="2"/>
        <v>1.1060437792294942</v>
      </c>
      <c r="J57" s="449">
        <f t="shared" si="4"/>
        <v>8276.308815393575</v>
      </c>
      <c r="K57" s="219">
        <f>K20</f>
        <v>97.61042274272533</v>
      </c>
      <c r="L57" s="249" t="s">
        <v>10</v>
      </c>
    </row>
    <row r="58" spans="1:12" ht="12.75">
      <c r="A58" s="226" t="s">
        <v>8</v>
      </c>
      <c r="B58" s="101" t="s">
        <v>29</v>
      </c>
      <c r="C58" s="101" t="s">
        <v>35</v>
      </c>
      <c r="D58" s="101" t="s">
        <v>8</v>
      </c>
      <c r="E58" s="446">
        <v>9530</v>
      </c>
      <c r="F58" s="447">
        <f t="shared" si="5"/>
        <v>1.0162644281217208</v>
      </c>
      <c r="G58" s="448">
        <v>9685</v>
      </c>
      <c r="H58" s="103">
        <f t="shared" si="3"/>
        <v>1.0711193633079539</v>
      </c>
      <c r="I58" s="103">
        <f t="shared" si="2"/>
        <v>1.0885405072022594</v>
      </c>
      <c r="J58" s="449">
        <f t="shared" si="4"/>
        <v>11299.133193837999</v>
      </c>
      <c r="K58" s="219">
        <f>K28</f>
        <v>117.73342630510739</v>
      </c>
      <c r="L58" s="249" t="s">
        <v>8</v>
      </c>
    </row>
    <row r="59" spans="1:12" ht="12.75">
      <c r="A59" s="226" t="s">
        <v>18</v>
      </c>
      <c r="B59" s="101" t="s">
        <v>29</v>
      </c>
      <c r="C59" s="101" t="s">
        <v>35</v>
      </c>
      <c r="D59" s="101"/>
      <c r="E59" s="446">
        <v>385</v>
      </c>
      <c r="F59" s="447">
        <f t="shared" si="5"/>
        <v>1.0025974025974025</v>
      </c>
      <c r="G59" s="448">
        <v>386</v>
      </c>
      <c r="H59" s="103">
        <f t="shared" si="3"/>
        <v>1.0711193633079539</v>
      </c>
      <c r="I59" s="103">
        <f t="shared" si="2"/>
        <v>1.0739014915243381</v>
      </c>
      <c r="J59" s="449">
        <f t="shared" si="4"/>
        <v>450.33199925879893</v>
      </c>
      <c r="K59" s="219">
        <f>K15</f>
        <v>117.48326800079238</v>
      </c>
      <c r="L59" s="249" t="s">
        <v>18</v>
      </c>
    </row>
    <row r="60" spans="1:12" ht="12.75">
      <c r="A60" s="452" t="s">
        <v>73</v>
      </c>
      <c r="B60" s="25"/>
      <c r="C60" s="23"/>
      <c r="D60" s="23"/>
      <c r="E60" s="453">
        <f>SUM(E40:E59)</f>
        <v>137846.5</v>
      </c>
      <c r="F60" s="454"/>
      <c r="G60" s="453">
        <f>SUM(G40:G59)</f>
        <v>141950.99194641778</v>
      </c>
      <c r="H60" s="455"/>
      <c r="I60" s="455"/>
      <c r="J60" s="456">
        <f>SUM(J40:J59)</f>
        <v>165608.99999999997</v>
      </c>
      <c r="K60" s="457" t="s">
        <v>24</v>
      </c>
      <c r="L60" s="457"/>
    </row>
    <row r="61" spans="1:12" ht="12.75">
      <c r="A61" s="107" t="s">
        <v>300</v>
      </c>
      <c r="B61" s="25"/>
      <c r="C61" s="23"/>
      <c r="D61" s="23"/>
      <c r="E61" s="458" t="s">
        <v>24</v>
      </c>
      <c r="F61" s="459"/>
      <c r="G61" s="460" t="s">
        <v>24</v>
      </c>
      <c r="H61" s="460"/>
      <c r="I61" s="65"/>
      <c r="J61" s="65"/>
      <c r="K61" s="461"/>
      <c r="L61" s="462"/>
    </row>
  </sheetData>
  <sheetProtection/>
  <mergeCells count="1">
    <mergeCell ref="A35:D35"/>
  </mergeCells>
  <printOptions/>
  <pageMargins left="0.5" right="0.5" top="0.5" bottom="0.5" header="0.3" footer="0.3"/>
  <pageSetup fitToHeight="1" fitToWidth="1" horizontalDpi="600" verticalDpi="600" orientation="landscape" paperSize="17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0" width="16.7109375" style="0" customWidth="1"/>
  </cols>
  <sheetData>
    <row r="1" spans="1:25" ht="18.75">
      <c r="A1" s="119" t="s">
        <v>316</v>
      </c>
      <c r="B1" s="4"/>
      <c r="C1" s="4"/>
      <c r="D1" s="4"/>
      <c r="E1" s="4"/>
      <c r="F1" s="463" t="s">
        <v>24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.75">
      <c r="A2" s="1" t="s">
        <v>24</v>
      </c>
      <c r="B2" s="4"/>
      <c r="C2" s="4" t="s">
        <v>24</v>
      </c>
      <c r="D2" s="693" t="s">
        <v>24</v>
      </c>
      <c r="E2" s="464" t="s">
        <v>24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8.75">
      <c r="A3" s="465" t="s">
        <v>68</v>
      </c>
      <c r="B3" s="1"/>
      <c r="C3" s="466" t="s">
        <v>24</v>
      </c>
      <c r="D3" s="357" t="s">
        <v>24</v>
      </c>
      <c r="F3" s="357"/>
      <c r="G3" s="16"/>
      <c r="H3" s="16"/>
      <c r="I3" s="16" t="s">
        <v>24</v>
      </c>
      <c r="J3" s="4"/>
      <c r="K3" s="426"/>
      <c r="L3" s="426"/>
      <c r="Y3" s="426"/>
    </row>
    <row r="4" spans="1:23" ht="89.25">
      <c r="A4" s="203" t="s">
        <v>3</v>
      </c>
      <c r="B4" s="227" t="s">
        <v>283</v>
      </c>
      <c r="C4" s="227" t="s">
        <v>301</v>
      </c>
      <c r="D4" s="227" t="s">
        <v>302</v>
      </c>
      <c r="E4" s="203" t="s">
        <v>71</v>
      </c>
      <c r="F4" s="203" t="s">
        <v>303</v>
      </c>
      <c r="G4" s="203" t="s">
        <v>79</v>
      </c>
      <c r="H4" s="203" t="s">
        <v>304</v>
      </c>
      <c r="I4" s="467" t="s">
        <v>320</v>
      </c>
      <c r="J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</row>
    <row r="5" spans="1:23" ht="12.75">
      <c r="A5" s="468" t="s">
        <v>29</v>
      </c>
      <c r="B5" s="469">
        <f>'1st IA Load Pricing Results'!B14</f>
        <v>65558.30578847071</v>
      </c>
      <c r="C5" s="470">
        <f>'BRA Resource Clearing Results'!E30-'1stIA Resource Clearing Results'!M30</f>
        <v>63980.5</v>
      </c>
      <c r="D5" s="471">
        <f>MAX(0,B5-C5)</f>
        <v>1577.8057884707086</v>
      </c>
      <c r="E5" s="126">
        <v>0</v>
      </c>
      <c r="F5" s="52">
        <f aca="true" t="shared" si="0" ref="F5:F14">D5-E5</f>
        <v>1577.8057884707086</v>
      </c>
      <c r="G5" s="52">
        <f>'1st IA ICTRs'!C27</f>
        <v>863.4372781078969</v>
      </c>
      <c r="H5" s="52">
        <f>'1st IA ICTRs'!C13+'1st IA ICTRs'!C20</f>
        <v>714.3685103628117</v>
      </c>
      <c r="I5" s="472">
        <f aca="true" t="shared" si="1" ref="I5:I14">F5-G5-H5</f>
        <v>0</v>
      </c>
      <c r="J5" s="473" t="s">
        <v>24</v>
      </c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</row>
    <row r="6" spans="1:23" ht="12.75">
      <c r="A6" s="468" t="s">
        <v>35</v>
      </c>
      <c r="B6" s="469">
        <f>'1st IA Load Pricing Results'!B15</f>
        <v>35634.56110197087</v>
      </c>
      <c r="C6" s="470">
        <f>'BRA Resource Clearing Results'!E31-'1stIA Resource Clearing Results'!M31</f>
        <v>30519.2</v>
      </c>
      <c r="D6" s="471">
        <f>B6-C6-26.064410670623</f>
        <v>5089.296691300243</v>
      </c>
      <c r="E6" s="126">
        <v>0</v>
      </c>
      <c r="F6" s="474">
        <f t="shared" si="0"/>
        <v>5089.296691300243</v>
      </c>
      <c r="G6" s="52">
        <f>'1st IA ICTRs'!D27</f>
        <v>0</v>
      </c>
      <c r="H6" s="52">
        <f>'1st IA ICTRs'!D13+'1st IA ICTRs'!D20</f>
        <v>898</v>
      </c>
      <c r="I6" s="475">
        <f t="shared" si="1"/>
        <v>4191.296691300243</v>
      </c>
      <c r="J6" s="473" t="s">
        <v>24</v>
      </c>
      <c r="M6" s="393" t="s">
        <v>24</v>
      </c>
      <c r="N6" s="393"/>
      <c r="O6" s="393"/>
      <c r="P6" s="393"/>
      <c r="Q6" s="393"/>
      <c r="R6" s="393"/>
      <c r="S6" s="393"/>
      <c r="T6" s="393"/>
      <c r="U6" s="393"/>
      <c r="V6" s="393"/>
      <c r="W6" s="393"/>
    </row>
    <row r="7" spans="1:23" ht="12.75">
      <c r="A7" s="468" t="s">
        <v>5</v>
      </c>
      <c r="B7" s="469">
        <f>'1st IA Load Pricing Results'!B16</f>
        <v>15058.122058117406</v>
      </c>
      <c r="C7" s="470">
        <f>'BRA Resource Clearing Results'!E32-'1stIA Resource Clearing Results'!M32</f>
        <v>10477.599999999999</v>
      </c>
      <c r="D7" s="471">
        <f>B7-C7</f>
        <v>4580.522058117407</v>
      </c>
      <c r="E7" s="126">
        <v>0</v>
      </c>
      <c r="F7" s="474">
        <f t="shared" si="0"/>
        <v>4580.522058117407</v>
      </c>
      <c r="G7" s="52">
        <f>'1st IA ICTRs'!E27</f>
        <v>0</v>
      </c>
      <c r="H7" s="52">
        <f>'1st IA ICTRs'!E13+'1st IA ICTRs'!E20</f>
        <v>1044</v>
      </c>
      <c r="I7" s="475">
        <f t="shared" si="1"/>
        <v>3536.522058117407</v>
      </c>
      <c r="J7" s="473" t="s">
        <v>24</v>
      </c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</row>
    <row r="8" spans="1:23" ht="12.75">
      <c r="A8" s="468" t="s">
        <v>42</v>
      </c>
      <c r="B8" s="469">
        <f>'1st IA Load Pricing Results'!J58</f>
        <v>11299.133193837999</v>
      </c>
      <c r="C8" s="470">
        <f>'1st IA Load Pricing Results'!C28</f>
        <v>5433</v>
      </c>
      <c r="D8" s="477">
        <f>B8-C8</f>
        <v>5866.133193837999</v>
      </c>
      <c r="E8" s="126">
        <v>0</v>
      </c>
      <c r="F8" s="474">
        <f t="shared" si="0"/>
        <v>5866.133193837999</v>
      </c>
      <c r="G8" s="52">
        <v>0</v>
      </c>
      <c r="H8" s="52">
        <v>0</v>
      </c>
      <c r="I8" s="475">
        <f t="shared" si="1"/>
        <v>5866.133193837999</v>
      </c>
      <c r="J8" s="473" t="s">
        <v>24</v>
      </c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</row>
    <row r="9" spans="1:23" ht="12.75">
      <c r="A9" s="468" t="s">
        <v>40</v>
      </c>
      <c r="B9" s="469">
        <f>'1st IA Load Pricing Results'!J50</f>
        <v>4520.819940745715</v>
      </c>
      <c r="C9" s="470">
        <f>'1st IA Load Pricing Results'!C31</f>
        <v>4986.5</v>
      </c>
      <c r="D9" s="471">
        <f>MAX(0,B9-C9)</f>
        <v>0</v>
      </c>
      <c r="E9" s="126">
        <v>0</v>
      </c>
      <c r="F9" s="385">
        <f t="shared" si="0"/>
        <v>0</v>
      </c>
      <c r="G9" s="52">
        <f>'1st IA ICTRs'!I27</f>
        <v>0</v>
      </c>
      <c r="H9" s="52">
        <v>0</v>
      </c>
      <c r="I9" s="476">
        <f t="shared" si="1"/>
        <v>0</v>
      </c>
      <c r="J9" s="473" t="s">
        <v>24</v>
      </c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</row>
    <row r="10" spans="1:23" ht="12.75">
      <c r="A10" s="468" t="s">
        <v>15</v>
      </c>
      <c r="B10" s="469">
        <f>'1st IA Load Pricing Results'!B17</f>
        <v>7381.478132928552</v>
      </c>
      <c r="C10" s="470">
        <f>'BRA Resource Clearing Results'!E36-'1stIA Resource Clearing Results'!M36</f>
        <v>5465.6</v>
      </c>
      <c r="D10" s="471">
        <f>B10-C10</f>
        <v>1915.878132928552</v>
      </c>
      <c r="E10" s="126">
        <v>0</v>
      </c>
      <c r="F10" s="52">
        <f t="shared" si="0"/>
        <v>1915.878132928552</v>
      </c>
      <c r="G10" s="52">
        <f>'1st IA ICTRs'!J27</f>
        <v>0</v>
      </c>
      <c r="H10" s="52">
        <f>'1st IA ICTRs'!J13+'1st IA ICTRs'!J20</f>
        <v>315</v>
      </c>
      <c r="I10" s="475">
        <f t="shared" si="1"/>
        <v>1600.878132928552</v>
      </c>
      <c r="J10" s="473" t="s">
        <v>24</v>
      </c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</row>
    <row r="11" spans="1:23" ht="12.75">
      <c r="A11" s="468" t="s">
        <v>45</v>
      </c>
      <c r="B11" s="469">
        <f>'1st IA Load Pricing Results'!J43</f>
        <v>14668.456545805388</v>
      </c>
      <c r="C11" s="470">
        <f>'1st IA Load Pricing Results'!C34</f>
        <v>10427.900000000001</v>
      </c>
      <c r="D11" s="477">
        <f>B11-C11</f>
        <v>4240.556545805386</v>
      </c>
      <c r="E11" s="126">
        <v>0</v>
      </c>
      <c r="F11" s="52">
        <f t="shared" si="0"/>
        <v>4240.556545805386</v>
      </c>
      <c r="G11" s="52">
        <v>0</v>
      </c>
      <c r="H11" s="52">
        <v>0</v>
      </c>
      <c r="I11" s="475">
        <f t="shared" si="1"/>
        <v>4240.556545805386</v>
      </c>
      <c r="J11" s="473" t="s">
        <v>24</v>
      </c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</row>
    <row r="12" spans="1:23" ht="12.75">
      <c r="A12" s="468" t="s">
        <v>20</v>
      </c>
      <c r="B12" s="469">
        <f>'1st IA Load Pricing Results'!B18</f>
        <v>25311.925015333945</v>
      </c>
      <c r="C12" s="470">
        <f>'BRA Resource Clearing Results'!E39-'1stIA Resource Clearing Results'!M39</f>
        <v>23396.7</v>
      </c>
      <c r="D12" s="471">
        <f>B12-C12</f>
        <v>1915.2250153339446</v>
      </c>
      <c r="E12" s="126">
        <v>0</v>
      </c>
      <c r="F12" s="52">
        <f t="shared" si="0"/>
        <v>1915.2250153339446</v>
      </c>
      <c r="G12" s="52">
        <v>0</v>
      </c>
      <c r="H12" s="52">
        <v>0</v>
      </c>
      <c r="I12" s="475">
        <f t="shared" si="1"/>
        <v>1915.2250153339446</v>
      </c>
      <c r="J12" s="473" t="s">
        <v>24</v>
      </c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</row>
    <row r="13" spans="1:23" ht="12.75">
      <c r="A13" s="468" t="s">
        <v>11</v>
      </c>
      <c r="B13" s="469">
        <f>'1st IA Load Pricing Results'!B19</f>
        <v>7676.643925188852</v>
      </c>
      <c r="C13" s="470">
        <f>'BRA Resource Clearing Results'!E40-'1stIA Resource Clearing Results'!M40</f>
        <v>2605.3</v>
      </c>
      <c r="D13" s="477">
        <f>B13-C13</f>
        <v>5071.343925188852</v>
      </c>
      <c r="E13" s="126">
        <v>0</v>
      </c>
      <c r="F13" s="52">
        <f t="shared" si="0"/>
        <v>5071.343925188852</v>
      </c>
      <c r="G13" s="52">
        <f>'1st IA ICTRs'!K27</f>
        <v>65.7</v>
      </c>
      <c r="H13" s="52">
        <f>'1st IA ICTRs'!K13+'1st IA ICTRs'!K20</f>
        <v>306</v>
      </c>
      <c r="I13" s="475">
        <f t="shared" si="1"/>
        <v>4699.643925188852</v>
      </c>
      <c r="J13" s="473" t="s">
        <v>24</v>
      </c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</row>
    <row r="14" spans="1:23" ht="12.75">
      <c r="A14" s="468" t="s">
        <v>10</v>
      </c>
      <c r="B14" s="469">
        <f>'1st IA Load Pricing Results'!B20</f>
        <v>8276.308815393575</v>
      </c>
      <c r="C14" s="470">
        <f>'BRA Resource Clearing Results'!E41-'1stIA Resource Clearing Results'!M41</f>
        <v>9786.5</v>
      </c>
      <c r="D14" s="471">
        <f>MAX(0,B14-C14)</f>
        <v>0</v>
      </c>
      <c r="E14" s="126">
        <v>0</v>
      </c>
      <c r="F14" s="52">
        <f t="shared" si="0"/>
        <v>0</v>
      </c>
      <c r="G14" s="52">
        <v>0</v>
      </c>
      <c r="H14" s="52">
        <v>0</v>
      </c>
      <c r="I14" s="476">
        <f t="shared" si="1"/>
        <v>0</v>
      </c>
      <c r="J14" s="473" t="s">
        <v>24</v>
      </c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</row>
    <row r="15" spans="1:24" ht="12.75">
      <c r="A15" s="23" t="s">
        <v>305</v>
      </c>
      <c r="B15" s="34"/>
      <c r="C15" s="34"/>
      <c r="D15" s="59"/>
      <c r="E15" s="25"/>
      <c r="F15" s="59"/>
      <c r="G15" s="60"/>
      <c r="H15" s="478"/>
      <c r="I15" s="60"/>
      <c r="J15" s="366"/>
      <c r="K15" s="390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</row>
    <row r="16" spans="1:24" ht="12.75">
      <c r="A16" s="423"/>
      <c r="B16" s="15"/>
      <c r="C16" s="15"/>
      <c r="D16" s="391"/>
      <c r="E16" s="15"/>
      <c r="F16" s="391"/>
      <c r="G16" s="479"/>
      <c r="H16" s="404"/>
      <c r="I16" s="479"/>
      <c r="J16" s="366"/>
      <c r="K16" s="390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</row>
    <row r="17" spans="1:25" ht="14.25">
      <c r="A17" s="691" t="s">
        <v>88</v>
      </c>
      <c r="B17" s="691"/>
      <c r="C17" s="691"/>
      <c r="D17" s="691"/>
      <c r="E17" s="480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</row>
    <row r="18" spans="1:28" ht="15">
      <c r="A18" s="691"/>
      <c r="B18" s="691"/>
      <c r="C18" s="691"/>
      <c r="D18" s="691"/>
      <c r="E18" s="689" t="s">
        <v>29</v>
      </c>
      <c r="F18" s="689"/>
      <c r="G18" s="689" t="s">
        <v>35</v>
      </c>
      <c r="H18" s="689"/>
      <c r="I18" s="689" t="s">
        <v>5</v>
      </c>
      <c r="J18" s="689"/>
      <c r="K18" s="689" t="s">
        <v>42</v>
      </c>
      <c r="L18" s="689"/>
      <c r="M18" s="689" t="s">
        <v>40</v>
      </c>
      <c r="N18" s="689"/>
      <c r="O18" s="689" t="s">
        <v>15</v>
      </c>
      <c r="P18" s="689"/>
      <c r="Q18" s="689" t="s">
        <v>129</v>
      </c>
      <c r="R18" s="689"/>
      <c r="S18" s="689" t="s">
        <v>20</v>
      </c>
      <c r="T18" s="689"/>
      <c r="U18" s="689" t="s">
        <v>11</v>
      </c>
      <c r="V18" s="689"/>
      <c r="W18" s="689" t="s">
        <v>10</v>
      </c>
      <c r="X18" s="689"/>
      <c r="Y18" s="482"/>
      <c r="Z18" s="482"/>
      <c r="AA18" s="482"/>
      <c r="AB18" s="23"/>
    </row>
    <row r="19" spans="1:28" ht="45">
      <c r="A19" s="692"/>
      <c r="B19" s="692"/>
      <c r="C19" s="692"/>
      <c r="D19" s="692"/>
      <c r="E19" s="483" t="s">
        <v>306</v>
      </c>
      <c r="F19" s="484">
        <f>'1st IA Load Pricing Results'!D14</f>
        <v>0</v>
      </c>
      <c r="G19" s="483" t="s">
        <v>306</v>
      </c>
      <c r="H19" s="484">
        <f>'1st IA Load Pricing Results'!D15-'1st IA Load Pricing Results'!D14</f>
        <v>19.872845258067052</v>
      </c>
      <c r="I19" s="483" t="s">
        <v>306</v>
      </c>
      <c r="J19" s="484">
        <f>'1st IA Load Pricing Results'!D16-'1st IA Load Pricing Results'!D14</f>
        <v>0</v>
      </c>
      <c r="K19" s="483" t="s">
        <v>306</v>
      </c>
      <c r="L19" s="484">
        <f>'1st IA Load Pricing Results'!D28</f>
        <v>0</v>
      </c>
      <c r="M19" s="483" t="s">
        <v>306</v>
      </c>
      <c r="N19" s="484">
        <f>'1st IA Load Pricing Results'!D31</f>
        <v>0</v>
      </c>
      <c r="O19" s="483" t="s">
        <v>306</v>
      </c>
      <c r="P19" s="484">
        <f>'1st IA Load Pricing Results'!D17-'1st IA Load Pricing Results'!D16</f>
        <v>0</v>
      </c>
      <c r="Q19" s="483" t="s">
        <v>306</v>
      </c>
      <c r="R19" s="485">
        <f>'1st IA Load Pricing Results'!D34</f>
        <v>0</v>
      </c>
      <c r="S19" s="483" t="s">
        <v>306</v>
      </c>
      <c r="T19" s="485">
        <f>'1st IA Load Pricing Results'!D18</f>
        <v>100.90186983634443</v>
      </c>
      <c r="U19" s="483" t="s">
        <v>306</v>
      </c>
      <c r="V19" s="485">
        <f>'1st IA Load Pricing Results'!D19-'1st IA Load Pricing Results'!D16</f>
        <v>0.3154531148044371</v>
      </c>
      <c r="W19" s="483" t="s">
        <v>306</v>
      </c>
      <c r="X19" s="485">
        <f>'1st IA Load Pricing Results'!D20-'1st IA Load Pricing Results'!D14</f>
        <v>0</v>
      </c>
      <c r="Y19" s="482"/>
      <c r="Z19" s="482"/>
      <c r="AA19" s="482"/>
      <c r="AB19" s="23"/>
    </row>
    <row r="20" spans="1:28" ht="63.75">
      <c r="A20" s="486" t="s">
        <v>7</v>
      </c>
      <c r="B20" s="248" t="s">
        <v>28</v>
      </c>
      <c r="C20" s="248" t="s">
        <v>27</v>
      </c>
      <c r="D20" s="248" t="s">
        <v>33</v>
      </c>
      <c r="E20" s="248" t="s">
        <v>321</v>
      </c>
      <c r="F20" s="248" t="s">
        <v>322</v>
      </c>
      <c r="G20" s="248" t="s">
        <v>321</v>
      </c>
      <c r="H20" s="248" t="s">
        <v>322</v>
      </c>
      <c r="I20" s="248" t="s">
        <v>321</v>
      </c>
      <c r="J20" s="248" t="s">
        <v>322</v>
      </c>
      <c r="K20" s="248" t="s">
        <v>321</v>
      </c>
      <c r="L20" s="248" t="s">
        <v>322</v>
      </c>
      <c r="M20" s="248" t="s">
        <v>321</v>
      </c>
      <c r="N20" s="248" t="s">
        <v>322</v>
      </c>
      <c r="O20" s="248" t="s">
        <v>321</v>
      </c>
      <c r="P20" s="248" t="s">
        <v>322</v>
      </c>
      <c r="Q20" s="248" t="s">
        <v>321</v>
      </c>
      <c r="R20" s="248" t="s">
        <v>322</v>
      </c>
      <c r="S20" s="248" t="s">
        <v>321</v>
      </c>
      <c r="T20" s="248" t="s">
        <v>322</v>
      </c>
      <c r="U20" s="248" t="s">
        <v>321</v>
      </c>
      <c r="V20" s="248" t="s">
        <v>322</v>
      </c>
      <c r="W20" s="248" t="s">
        <v>321</v>
      </c>
      <c r="X20" s="248" t="s">
        <v>322</v>
      </c>
      <c r="Y20" s="248" t="s">
        <v>307</v>
      </c>
      <c r="Z20" s="248" t="s">
        <v>308</v>
      </c>
      <c r="AA20" s="487" t="s">
        <v>309</v>
      </c>
      <c r="AB20" s="487" t="s">
        <v>310</v>
      </c>
    </row>
    <row r="21" spans="1:28" ht="12.75">
      <c r="A21" s="24" t="s">
        <v>16</v>
      </c>
      <c r="B21" s="101" t="s">
        <v>29</v>
      </c>
      <c r="C21" s="101" t="s">
        <v>35</v>
      </c>
      <c r="D21" s="101"/>
      <c r="E21" s="165">
        <f>IF(B21="MAAC",$I$5*'1st IA Load Pricing Results'!J40/'1st IA Load Pricing Results'!$B$14,0)</f>
        <v>0</v>
      </c>
      <c r="F21" s="488">
        <f>E21*$F$19</f>
        <v>0</v>
      </c>
      <c r="G21" s="165">
        <f>IF(C21="EMAAC",$I$6*'1st IA Load Pricing Results'!J40/'1st IA Load Pricing Results'!$B$15,0)</f>
        <v>327.68519181590426</v>
      </c>
      <c r="H21" s="488">
        <f>G21*$H$19</f>
        <v>6512.037110317486</v>
      </c>
      <c r="I21" s="165">
        <f>IF(C21="SWMAAC",$I$7*'1st IA Load Pricing Results'!J40/'1st IA Load Pricing Results'!$B$16,0)</f>
        <v>0</v>
      </c>
      <c r="J21" s="488">
        <f>I21*$J$19</f>
        <v>0</v>
      </c>
      <c r="K21" s="165">
        <f>IF(D21="PS",$I$8*'1st IA Load Pricing Results'!J40/'1st IA Load Pricing Results'!$J$58,0)</f>
        <v>0</v>
      </c>
      <c r="L21" s="488">
        <f>K21*$L$19</f>
        <v>0</v>
      </c>
      <c r="M21" s="165">
        <f>IF(D21="DPL",$I$9*'1st IA Load Pricing Results'!J40/'1st IA Load Pricing Results'!$J$50,0)</f>
        <v>0</v>
      </c>
      <c r="N21" s="488">
        <f>M21*$N$19</f>
        <v>0</v>
      </c>
      <c r="O21" s="165">
        <f>IF(D21="PEPCO",$I$10*'1st IA Load Pricing Results'!J40/'1st IA Load Pricing Results'!$J$56,0)</f>
        <v>0</v>
      </c>
      <c r="P21" s="488">
        <f>O21*$P$19</f>
        <v>0</v>
      </c>
      <c r="Q21" s="165">
        <f>IF(D21="ATSI",$I$11*'1st IA Load Pricing Results'!J40/'1st IA Load Pricing Results'!$J$43,0)</f>
        <v>0</v>
      </c>
      <c r="R21" s="488">
        <f>Q21*$R$19</f>
        <v>0</v>
      </c>
      <c r="S21" s="165">
        <f>IF(D21="COMED",$I$12*'1st IA Load Pricing Results'!J40/'1st IA Load Pricing Results'!$J$45,0)</f>
        <v>0</v>
      </c>
      <c r="T21" s="488">
        <f>S21*$T$19</f>
        <v>0</v>
      </c>
      <c r="U21" s="165">
        <f>IF(D21="BGE",$I$13*'1st IA Load Pricing Results'!J40/'1st IA Load Pricing Results'!$J$44,0)</f>
        <v>0</v>
      </c>
      <c r="V21" s="488">
        <f>U21*$V$19</f>
        <v>0</v>
      </c>
      <c r="W21" s="165">
        <f>IF(D21="PL",$I$14*'1st IA Load Pricing Results'!J40/'1st IA Load Pricing Results'!$J$57,0)</f>
        <v>0</v>
      </c>
      <c r="X21" s="488">
        <f>W21*$X$19</f>
        <v>0</v>
      </c>
      <c r="Y21" s="52">
        <f>MAX(E21,G21,I21,K21,M21,O21,Q21,S21,U21,W21)</f>
        <v>327.68519181590426</v>
      </c>
      <c r="Z21" s="33">
        <f>F21+H21+J21+L21+N21+P21+R21+T21+V21+X21</f>
        <v>6512.037110317486</v>
      </c>
      <c r="AA21" s="184">
        <f>Z21/'1st IA Load Pricing Results'!J40</f>
        <v>2.3374215368756546</v>
      </c>
      <c r="AB21" s="184">
        <f aca="true" t="shared" si="2" ref="AB21:AB26">IF(Y21=0,0,Z21/Y21)</f>
        <v>19.872845258067052</v>
      </c>
    </row>
    <row r="22" spans="1:28" ht="12.75">
      <c r="A22" s="24" t="s">
        <v>30</v>
      </c>
      <c r="B22" s="101"/>
      <c r="C22" s="101"/>
      <c r="D22" s="101"/>
      <c r="E22" s="165">
        <f>IF(B22="MAAC",$I$5*'1st IA Load Pricing Results'!J41/'1st IA Load Pricing Results'!$B$14,0)</f>
        <v>0</v>
      </c>
      <c r="F22" s="488">
        <f>E22*$F$19</f>
        <v>0</v>
      </c>
      <c r="G22" s="165">
        <f>IF(C22="EMAAC",$I$6*'1st IA Load Pricing Results'!J41/'1st IA Load Pricing Results'!$B$15,0)</f>
        <v>0</v>
      </c>
      <c r="H22" s="488">
        <f>G22*$H$19</f>
        <v>0</v>
      </c>
      <c r="I22" s="165">
        <f>IF(C22="SWMAAC",$I$7*'1st IA Load Pricing Results'!J41/'1st IA Load Pricing Results'!$B$16,0)</f>
        <v>0</v>
      </c>
      <c r="J22" s="488">
        <f>I22*$J$19</f>
        <v>0</v>
      </c>
      <c r="K22" s="165">
        <f>IF(D22="PS",$I$8*'1st IA Load Pricing Results'!J41/'1st IA Load Pricing Results'!$J$58,0)</f>
        <v>0</v>
      </c>
      <c r="L22" s="488">
        <f>K22*$L$19</f>
        <v>0</v>
      </c>
      <c r="M22" s="165">
        <f>IF(D22="DPL",$I$9*'1st IA Load Pricing Results'!J41/'1st IA Load Pricing Results'!$J$50,0)</f>
        <v>0</v>
      </c>
      <c r="N22" s="488">
        <f aca="true" t="shared" si="3" ref="N22:N40">M22*$N$19</f>
        <v>0</v>
      </c>
      <c r="O22" s="165">
        <f>IF(D22="PEPCO",$I$10*'1st IA Load Pricing Results'!J41/'1st IA Load Pricing Results'!$J$56,0)</f>
        <v>0</v>
      </c>
      <c r="P22" s="488">
        <f>O22*$P$19</f>
        <v>0</v>
      </c>
      <c r="Q22" s="165">
        <f>IF(D22="ATSI",$I$11*'1st IA Load Pricing Results'!J41/'1st IA Load Pricing Results'!$J$43,0)</f>
        <v>0</v>
      </c>
      <c r="R22" s="488">
        <f>Q22*$R$19</f>
        <v>0</v>
      </c>
      <c r="S22" s="165">
        <f>IF(D22="COMED",$I$12*'1st IA Load Pricing Results'!J41/'1st IA Load Pricing Results'!$J$45,0)</f>
        <v>0</v>
      </c>
      <c r="T22" s="488">
        <f aca="true" t="shared" si="4" ref="T22:T40">S22*$T$19</f>
        <v>0</v>
      </c>
      <c r="U22" s="165">
        <f>IF(D22="BGE",$I$13*'1st IA Load Pricing Results'!J41/'1st IA Load Pricing Results'!$J$44,0)</f>
        <v>0</v>
      </c>
      <c r="V22" s="488">
        <f aca="true" t="shared" si="5" ref="V22:V40">U22*$V$19</f>
        <v>0</v>
      </c>
      <c r="W22" s="165">
        <f>IF(D22="PL",$I$14*'1st IA Load Pricing Results'!J41/'1st IA Load Pricing Results'!$J$57,0)</f>
        <v>0</v>
      </c>
      <c r="X22" s="488">
        <f aca="true" t="shared" si="6" ref="X22:X40">W22*$X$19</f>
        <v>0</v>
      </c>
      <c r="Y22" s="52">
        <f aca="true" t="shared" si="7" ref="Y22:Y40">MAX(E22,G22,I22,K22,M22,O22,Q22,S22,U22,W22)</f>
        <v>0</v>
      </c>
      <c r="Z22" s="33">
        <f aca="true" t="shared" si="8" ref="Z22:Z40">F22+H22+J22+L22+N22+P22+R22+T22+V22+X22</f>
        <v>0</v>
      </c>
      <c r="AA22" s="184">
        <f>Z22/'1st IA Load Pricing Results'!J41</f>
        <v>0</v>
      </c>
      <c r="AB22" s="184">
        <f t="shared" si="2"/>
        <v>0</v>
      </c>
    </row>
    <row r="23" spans="1:28" ht="12.75">
      <c r="A23" s="24" t="s">
        <v>19</v>
      </c>
      <c r="B23" s="101" t="s">
        <v>24</v>
      </c>
      <c r="C23" s="101"/>
      <c r="D23" s="101"/>
      <c r="E23" s="165">
        <f>IF(B23="MAAC",$I$5*'1st IA Load Pricing Results'!J42/'1st IA Load Pricing Results'!$B$14,0)</f>
        <v>0</v>
      </c>
      <c r="F23" s="488">
        <f>E23*$F$19</f>
        <v>0</v>
      </c>
      <c r="G23" s="165">
        <f>IF(C23="EMAAC",$I$6*'1st IA Load Pricing Results'!J42/'1st IA Load Pricing Results'!$B$15,0)</f>
        <v>0</v>
      </c>
      <c r="H23" s="488">
        <f>G23*$H$19</f>
        <v>0</v>
      </c>
      <c r="I23" s="165">
        <f>IF(C23="SWMAAC",$I$7*'1st IA Load Pricing Results'!J42/'1st IA Load Pricing Results'!$B$16,0)</f>
        <v>0</v>
      </c>
      <c r="J23" s="488">
        <f>I23*$J$19</f>
        <v>0</v>
      </c>
      <c r="K23" s="165">
        <f>IF(D23="PS",$I$8*'1st IA Load Pricing Results'!J42/'1st IA Load Pricing Results'!$J$58,0)</f>
        <v>0</v>
      </c>
      <c r="L23" s="488">
        <f>K23*$L$19</f>
        <v>0</v>
      </c>
      <c r="M23" s="165">
        <f>IF(D23="DPL",$I$9*'1st IA Load Pricing Results'!J42/'1st IA Load Pricing Results'!$J$50,0)</f>
        <v>0</v>
      </c>
      <c r="N23" s="488">
        <f t="shared" si="3"/>
        <v>0</v>
      </c>
      <c r="O23" s="165">
        <f>IF(D23="PEPCO",$I$10*'1st IA Load Pricing Results'!J42/'1st IA Load Pricing Results'!$J$56,0)</f>
        <v>0</v>
      </c>
      <c r="P23" s="488">
        <f aca="true" t="shared" si="9" ref="P23:P36">O23*$P$19</f>
        <v>0</v>
      </c>
      <c r="Q23" s="165">
        <f>IF(D23="ATSI",$I$11*'1st IA Load Pricing Results'!J42/'1st IA Load Pricing Results'!$J$43,0)</f>
        <v>0</v>
      </c>
      <c r="R23" s="488">
        <f aca="true" t="shared" si="10" ref="R23:R39">Q23*$R$19</f>
        <v>0</v>
      </c>
      <c r="S23" s="165">
        <f>IF(D23="COMED",$I$12*'1st IA Load Pricing Results'!J42/'1st IA Load Pricing Results'!$J$45,0)</f>
        <v>0</v>
      </c>
      <c r="T23" s="488">
        <f t="shared" si="4"/>
        <v>0</v>
      </c>
      <c r="U23" s="165">
        <f>IF(D23="BGE",$I$13*'1st IA Load Pricing Results'!J42/'1st IA Load Pricing Results'!$J$44,0)</f>
        <v>0</v>
      </c>
      <c r="V23" s="488">
        <f t="shared" si="5"/>
        <v>0</v>
      </c>
      <c r="W23" s="165">
        <f>IF(D23="PL",$I$14*'1st IA Load Pricing Results'!J42/'1st IA Load Pricing Results'!$J$57,0)</f>
        <v>0</v>
      </c>
      <c r="X23" s="488">
        <f t="shared" si="6"/>
        <v>0</v>
      </c>
      <c r="Y23" s="52">
        <f t="shared" si="7"/>
        <v>0</v>
      </c>
      <c r="Z23" s="33">
        <f t="shared" si="8"/>
        <v>0</v>
      </c>
      <c r="AA23" s="184">
        <f>Z23/'1st IA Load Pricing Results'!J42</f>
        <v>0</v>
      </c>
      <c r="AB23" s="184">
        <f t="shared" si="2"/>
        <v>0</v>
      </c>
    </row>
    <row r="24" spans="1:28" ht="12.75">
      <c r="A24" s="24" t="s">
        <v>45</v>
      </c>
      <c r="B24" s="101"/>
      <c r="C24" s="101"/>
      <c r="D24" s="101" t="s">
        <v>45</v>
      </c>
      <c r="E24" s="165">
        <f>IF(B24="MAAC",$I$5*'1st IA Load Pricing Results'!J43/'1st IA Load Pricing Results'!$B$14,0)</f>
        <v>0</v>
      </c>
      <c r="F24" s="488">
        <f>E24*$F$19</f>
        <v>0</v>
      </c>
      <c r="G24" s="165">
        <f>IF(C24="EMAAC",$I$6*'1st IA Load Pricing Results'!J43/'1st IA Load Pricing Results'!$B$15,0)</f>
        <v>0</v>
      </c>
      <c r="H24" s="488">
        <f aca="true" t="shared" si="11" ref="H24:H38">G24*$H$19</f>
        <v>0</v>
      </c>
      <c r="I24" s="165">
        <f>IF(C24="SWMAAC",$I$7*'1st IA Load Pricing Results'!J43/'1st IA Load Pricing Results'!$B$16,0)</f>
        <v>0</v>
      </c>
      <c r="J24" s="488">
        <f>I24*$J$19</f>
        <v>0</v>
      </c>
      <c r="K24" s="165">
        <f>IF(D24="PS",$I$8*'1st IA Load Pricing Results'!J43/'1st IA Load Pricing Results'!$J$58,0)</f>
        <v>0</v>
      </c>
      <c r="L24" s="488">
        <f aca="true" t="shared" si="12" ref="L24:L38">K24*$L$19</f>
        <v>0</v>
      </c>
      <c r="M24" s="165">
        <f>IF(D24="DPL",$I$9*'1st IA Load Pricing Results'!J43/'1st IA Load Pricing Results'!$J$50,0)</f>
        <v>0</v>
      </c>
      <c r="N24" s="488">
        <f t="shared" si="3"/>
        <v>0</v>
      </c>
      <c r="O24" s="165">
        <f>IF(D24="PEPCO",$I$10*'1st IA Load Pricing Results'!J43/'1st IA Load Pricing Results'!$J$56,0)</f>
        <v>0</v>
      </c>
      <c r="P24" s="488">
        <f t="shared" si="9"/>
        <v>0</v>
      </c>
      <c r="Q24" s="165">
        <f>IF(D24="ATSI",$I$11*'1st IA Load Pricing Results'!J43/'1st IA Load Pricing Results'!$J$43,0)</f>
        <v>4240.556545805386</v>
      </c>
      <c r="R24" s="488">
        <f>Q24*$R$19</f>
        <v>0</v>
      </c>
      <c r="S24" s="165">
        <f>IF(D24="COMED",$I$12*'1st IA Load Pricing Results'!J43/'1st IA Load Pricing Results'!$J$45,0)</f>
        <v>0</v>
      </c>
      <c r="T24" s="488">
        <f t="shared" si="4"/>
        <v>0</v>
      </c>
      <c r="U24" s="165">
        <f>IF(D24="BGE",$I$13*'1st IA Load Pricing Results'!J43/'1st IA Load Pricing Results'!$J$44,0)</f>
        <v>0</v>
      </c>
      <c r="V24" s="488">
        <f t="shared" si="5"/>
        <v>0</v>
      </c>
      <c r="W24" s="165">
        <f>IF(D24="PL",$I$14*'1st IA Load Pricing Results'!J43/'1st IA Load Pricing Results'!$J$57,0)</f>
        <v>0</v>
      </c>
      <c r="X24" s="488">
        <f t="shared" si="6"/>
        <v>0</v>
      </c>
      <c r="Y24" s="52">
        <f t="shared" si="7"/>
        <v>4240.556545805386</v>
      </c>
      <c r="Z24" s="33">
        <f t="shared" si="8"/>
        <v>0</v>
      </c>
      <c r="AA24" s="184">
        <f>Z24/'1st IA Load Pricing Results'!J43</f>
        <v>0</v>
      </c>
      <c r="AB24" s="184">
        <f t="shared" si="2"/>
        <v>0</v>
      </c>
    </row>
    <row r="25" spans="1:28" ht="12.75">
      <c r="A25" s="24" t="s">
        <v>11</v>
      </c>
      <c r="B25" s="101" t="s">
        <v>29</v>
      </c>
      <c r="C25" s="101" t="s">
        <v>5</v>
      </c>
      <c r="D25" s="101" t="s">
        <v>11</v>
      </c>
      <c r="E25" s="165">
        <f>IF(B25="MAAC",$I$5*'1st IA Load Pricing Results'!J44/'1st IA Load Pricing Results'!$B$14,0)</f>
        <v>0</v>
      </c>
      <c r="F25" s="488">
        <f aca="true" t="shared" si="13" ref="F25:F39">E25*$F$19</f>
        <v>0</v>
      </c>
      <c r="G25" s="165">
        <f>IF(C25="EMAAC",$I$6*'1st IA Load Pricing Results'!J44/'1st IA Load Pricing Results'!$B$15,0)</f>
        <v>0</v>
      </c>
      <c r="H25" s="488">
        <f t="shared" si="11"/>
        <v>0</v>
      </c>
      <c r="I25" s="165">
        <f>IF(C25="SWMAAC",$I$7*'1st IA Load Pricing Results'!J44/'1st IA Load Pricing Results'!$B$16,0)</f>
        <v>1802.922068831838</v>
      </c>
      <c r="J25" s="488">
        <f>I25*$J$19</f>
        <v>0</v>
      </c>
      <c r="K25" s="165">
        <f>IF(D25="PS",$I$8*'1st IA Load Pricing Results'!J44/'1st IA Load Pricing Results'!$J$58,0)</f>
        <v>0</v>
      </c>
      <c r="L25" s="488">
        <f t="shared" si="12"/>
        <v>0</v>
      </c>
      <c r="M25" s="165">
        <f>IF(D25="DPL",$I$9*'1st IA Load Pricing Results'!J44/'1st IA Load Pricing Results'!$J$50,0)</f>
        <v>0</v>
      </c>
      <c r="N25" s="488">
        <f t="shared" si="3"/>
        <v>0</v>
      </c>
      <c r="O25" s="165">
        <f>IF(D25="PEPCO",$I$10*'1st IA Load Pricing Results'!J44/'1st IA Load Pricing Results'!$J$56,0)</f>
        <v>0</v>
      </c>
      <c r="P25" s="488">
        <f>O25*$P$19</f>
        <v>0</v>
      </c>
      <c r="Q25" s="165">
        <f>IF(D25="ATSI",$I$11*'1st IA Load Pricing Results'!J44/'1st IA Load Pricing Results'!$J$43,0)</f>
        <v>0</v>
      </c>
      <c r="R25" s="488">
        <f t="shared" si="10"/>
        <v>0</v>
      </c>
      <c r="S25" s="165">
        <f>IF(D25="COMED",$I$12*'1st IA Load Pricing Results'!J44/'1st IA Load Pricing Results'!$J$45,0)</f>
        <v>0</v>
      </c>
      <c r="T25" s="488">
        <f t="shared" si="4"/>
        <v>0</v>
      </c>
      <c r="U25" s="165">
        <f>IF(D25="BGE",$I$13*'1st IA Load Pricing Results'!J44/'1st IA Load Pricing Results'!$J$44,0)</f>
        <v>4699.643925188852</v>
      </c>
      <c r="V25" s="488">
        <f>U25*$V$19</f>
        <v>1482.5173146725745</v>
      </c>
      <c r="W25" s="165">
        <f>IF(D25="PL",$I$14*'1st IA Load Pricing Results'!J44/'1st IA Load Pricing Results'!$J$57,0)</f>
        <v>0</v>
      </c>
      <c r="X25" s="488">
        <f t="shared" si="6"/>
        <v>0</v>
      </c>
      <c r="Y25" s="52">
        <f t="shared" si="7"/>
        <v>4699.643925188852</v>
      </c>
      <c r="Z25" s="33">
        <f t="shared" si="8"/>
        <v>1482.5173146725745</v>
      </c>
      <c r="AA25" s="184">
        <f>Z25/'1st IA Load Pricing Results'!J44</f>
        <v>0.193120500197761</v>
      </c>
      <c r="AB25" s="184">
        <f t="shared" si="2"/>
        <v>0.3154531148044371</v>
      </c>
    </row>
    <row r="26" spans="1:28" ht="12.75">
      <c r="A26" s="24" t="s">
        <v>20</v>
      </c>
      <c r="B26" s="101"/>
      <c r="C26" s="101"/>
      <c r="D26" s="101" t="s">
        <v>20</v>
      </c>
      <c r="E26" s="165">
        <f>IF(B26="MAAC",$I$5*'1st IA Load Pricing Results'!J45/'1st IA Load Pricing Results'!$B$14,0)</f>
        <v>0</v>
      </c>
      <c r="F26" s="488">
        <f t="shared" si="13"/>
        <v>0</v>
      </c>
      <c r="G26" s="165">
        <f>IF(C26="EMAAC",$I$6*'1st IA Load Pricing Results'!J45/'1st IA Load Pricing Results'!$B$15,0)</f>
        <v>0</v>
      </c>
      <c r="H26" s="488">
        <f t="shared" si="11"/>
        <v>0</v>
      </c>
      <c r="I26" s="165">
        <f>IF(C26="SWMAAC",$I$7*'1st IA Load Pricing Results'!J45/'1st IA Load Pricing Results'!$B$16,0)</f>
        <v>0</v>
      </c>
      <c r="J26" s="488">
        <f aca="true" t="shared" si="14" ref="J26:J38">I26*$J$19</f>
        <v>0</v>
      </c>
      <c r="K26" s="165">
        <f>IF(D26="PS",$I$8*'1st IA Load Pricing Results'!J45/'1st IA Load Pricing Results'!$J$58,0)</f>
        <v>0</v>
      </c>
      <c r="L26" s="488">
        <f t="shared" si="12"/>
        <v>0</v>
      </c>
      <c r="M26" s="165">
        <f>IF(D26="DPL",$I$9*'1st IA Load Pricing Results'!J45/'1st IA Load Pricing Results'!$J$50,0)</f>
        <v>0</v>
      </c>
      <c r="N26" s="488">
        <f t="shared" si="3"/>
        <v>0</v>
      </c>
      <c r="O26" s="165">
        <f>IF(D26="PEPCO",$I$10*'1st IA Load Pricing Results'!J45/'1st IA Load Pricing Results'!$J$56,0)</f>
        <v>0</v>
      </c>
      <c r="P26" s="488">
        <f t="shared" si="9"/>
        <v>0</v>
      </c>
      <c r="Q26" s="165">
        <f>IF(D26="ATSI",$I$11*'1st IA Load Pricing Results'!J45/'1st IA Load Pricing Results'!$J$43,0)</f>
        <v>0</v>
      </c>
      <c r="R26" s="488">
        <f t="shared" si="10"/>
        <v>0</v>
      </c>
      <c r="S26" s="165">
        <f>IF(D26="COMED",$I$12*'1st IA Load Pricing Results'!J45/'1st IA Load Pricing Results'!$J$45,0)</f>
        <v>1915.2250153339446</v>
      </c>
      <c r="T26" s="488">
        <f>S26*$T$19</f>
        <v>193249.78520453646</v>
      </c>
      <c r="U26" s="165">
        <f>IF(D26="BGE",$I$13*'1st IA Load Pricing Results'!J45/'1st IA Load Pricing Results'!$J$44,0)</f>
        <v>0</v>
      </c>
      <c r="V26" s="488">
        <f t="shared" si="5"/>
        <v>0</v>
      </c>
      <c r="W26" s="165">
        <f>IF(D26="PL",$I$14*'1st IA Load Pricing Results'!J45/'1st IA Load Pricing Results'!$J$57,0)</f>
        <v>0</v>
      </c>
      <c r="X26" s="488">
        <f t="shared" si="6"/>
        <v>0</v>
      </c>
      <c r="Y26" s="52">
        <f t="shared" si="7"/>
        <v>1915.2250153339446</v>
      </c>
      <c r="Z26" s="33">
        <f t="shared" si="8"/>
        <v>193249.78520453646</v>
      </c>
      <c r="AA26" s="184">
        <f>Z26/'1st IA Load Pricing Results'!J45</f>
        <v>7.6347328418311085</v>
      </c>
      <c r="AB26" s="184">
        <f t="shared" si="2"/>
        <v>100.90186983634443</v>
      </c>
    </row>
    <row r="27" spans="1:28" ht="12.75">
      <c r="A27" s="24" t="s">
        <v>21</v>
      </c>
      <c r="B27" s="101"/>
      <c r="C27" s="101"/>
      <c r="D27" s="101"/>
      <c r="E27" s="165">
        <f>IF(B27="MAAC",$I$5*'1st IA Load Pricing Results'!J46/'1st IA Load Pricing Results'!$B$14,0)</f>
        <v>0</v>
      </c>
      <c r="F27" s="488">
        <f t="shared" si="13"/>
        <v>0</v>
      </c>
      <c r="G27" s="165">
        <f>IF(C27="EMAAC",$I$6*'1st IA Load Pricing Results'!J46/'1st IA Load Pricing Results'!$B$15,0)</f>
        <v>0</v>
      </c>
      <c r="H27" s="488">
        <f t="shared" si="11"/>
        <v>0</v>
      </c>
      <c r="I27" s="165">
        <f>IF(C27="SWMAAC",$I$7*'1st IA Load Pricing Results'!J46/'1st IA Load Pricing Results'!$B$16,0)</f>
        <v>0</v>
      </c>
      <c r="J27" s="488">
        <f>I27*$J$19</f>
        <v>0</v>
      </c>
      <c r="K27" s="165">
        <f>IF(D27="PS",$I$8*'1st IA Load Pricing Results'!J46/'1st IA Load Pricing Results'!$J$58,0)</f>
        <v>0</v>
      </c>
      <c r="L27" s="488">
        <f t="shared" si="12"/>
        <v>0</v>
      </c>
      <c r="M27" s="165">
        <f>IF(D27="DPL",$I$9*'1st IA Load Pricing Results'!J46/'1st IA Load Pricing Results'!$J$50,0)</f>
        <v>0</v>
      </c>
      <c r="N27" s="488">
        <f t="shared" si="3"/>
        <v>0</v>
      </c>
      <c r="O27" s="165">
        <f>IF(D27="PEPCO",$I$10*'1st IA Load Pricing Results'!J46/'1st IA Load Pricing Results'!$J$56,0)</f>
        <v>0</v>
      </c>
      <c r="P27" s="488">
        <f t="shared" si="9"/>
        <v>0</v>
      </c>
      <c r="Q27" s="165">
        <f>IF(D27="ATSI",$I$11*'1st IA Load Pricing Results'!J46/'1st IA Load Pricing Results'!$J$43,0)</f>
        <v>0</v>
      </c>
      <c r="R27" s="488">
        <f t="shared" si="10"/>
        <v>0</v>
      </c>
      <c r="S27" s="165">
        <f>IF(D27="COMED",$I$12*'1st IA Load Pricing Results'!J46/'1st IA Load Pricing Results'!$J$45,0)</f>
        <v>0</v>
      </c>
      <c r="T27" s="488">
        <f t="shared" si="4"/>
        <v>0</v>
      </c>
      <c r="U27" s="165">
        <f>IF(D27="BGE",$I$13*'1st IA Load Pricing Results'!J46/'1st IA Load Pricing Results'!$J$44,0)</f>
        <v>0</v>
      </c>
      <c r="V27" s="488">
        <f t="shared" si="5"/>
        <v>0</v>
      </c>
      <c r="W27" s="165">
        <f>IF(D27="PL",$I$14*'1st IA Load Pricing Results'!J46/'1st IA Load Pricing Results'!$J$57,0)</f>
        <v>0</v>
      </c>
      <c r="X27" s="488">
        <f t="shared" si="6"/>
        <v>0</v>
      </c>
      <c r="Y27" s="52">
        <f t="shared" si="7"/>
        <v>0</v>
      </c>
      <c r="Z27" s="33">
        <f t="shared" si="8"/>
        <v>0</v>
      </c>
      <c r="AA27" s="184">
        <f>Z27/'1st IA Load Pricing Results'!J46</f>
        <v>0</v>
      </c>
      <c r="AB27" s="184">
        <f aca="true" t="shared" si="15" ref="AB27:AB38">IF(Y27=0,0,Z27/Y27)</f>
        <v>0</v>
      </c>
    </row>
    <row r="28" spans="1:28" ht="12.75">
      <c r="A28" s="24" t="s">
        <v>55</v>
      </c>
      <c r="B28" s="101"/>
      <c r="C28" s="101"/>
      <c r="D28" s="101"/>
      <c r="E28" s="165">
        <f>IF(B28="MAAC",$I$5*'1st IA Load Pricing Results'!J47/'1st IA Load Pricing Results'!$B$14,0)</f>
        <v>0</v>
      </c>
      <c r="F28" s="488">
        <f>E28*$F$19</f>
        <v>0</v>
      </c>
      <c r="G28" s="165">
        <f>IF(C28="EMAAC",$I$6*'1st IA Load Pricing Results'!J47/'1st IA Load Pricing Results'!$B$15,0)</f>
        <v>0</v>
      </c>
      <c r="H28" s="488">
        <f t="shared" si="11"/>
        <v>0</v>
      </c>
      <c r="I28" s="165">
        <f>IF(C28="SWMAAC",$I$7*'1st IA Load Pricing Results'!J47/'1st IA Load Pricing Results'!$B$16,0)</f>
        <v>0</v>
      </c>
      <c r="J28" s="488">
        <f>I28*$J$19</f>
        <v>0</v>
      </c>
      <c r="K28" s="165">
        <f>IF(D28="PS",$I$8*'1st IA Load Pricing Results'!J47/'1st IA Load Pricing Results'!$J$58,0)</f>
        <v>0</v>
      </c>
      <c r="L28" s="488">
        <f t="shared" si="12"/>
        <v>0</v>
      </c>
      <c r="M28" s="165">
        <f>IF(D28="DPL",$I$9*'1st IA Load Pricing Results'!J47/'1st IA Load Pricing Results'!$J$50,0)</f>
        <v>0</v>
      </c>
      <c r="N28" s="488">
        <f t="shared" si="3"/>
        <v>0</v>
      </c>
      <c r="O28" s="165">
        <f>IF(D28="PEPCO",$I$10*'1st IA Load Pricing Results'!J47/'1st IA Load Pricing Results'!$J$56,0)</f>
        <v>0</v>
      </c>
      <c r="P28" s="488">
        <f t="shared" si="9"/>
        <v>0</v>
      </c>
      <c r="Q28" s="165">
        <f>IF(D28="ATSI",$I$11*'1st IA Load Pricing Results'!J47/'1st IA Load Pricing Results'!$J$43,0)</f>
        <v>0</v>
      </c>
      <c r="R28" s="488">
        <f t="shared" si="10"/>
        <v>0</v>
      </c>
      <c r="S28" s="165">
        <f>IF(D28="COMED",$I$12*'1st IA Load Pricing Results'!J47/'1st IA Load Pricing Results'!$J$45,0)</f>
        <v>0</v>
      </c>
      <c r="T28" s="488">
        <f t="shared" si="4"/>
        <v>0</v>
      </c>
      <c r="U28" s="165">
        <f>IF(D28="BGE",$I$13*'1st IA Load Pricing Results'!J47/'1st IA Load Pricing Results'!$J$44,0)</f>
        <v>0</v>
      </c>
      <c r="V28" s="488">
        <f t="shared" si="5"/>
        <v>0</v>
      </c>
      <c r="W28" s="165">
        <f>IF(D28="PL",$I$14*'1st IA Load Pricing Results'!J47/'1st IA Load Pricing Results'!$J$57,0)</f>
        <v>0</v>
      </c>
      <c r="X28" s="488">
        <f t="shared" si="6"/>
        <v>0</v>
      </c>
      <c r="Y28" s="52">
        <f t="shared" si="7"/>
        <v>0</v>
      </c>
      <c r="Z28" s="33">
        <f t="shared" si="8"/>
        <v>0</v>
      </c>
      <c r="AA28" s="184">
        <f>Z28/'1st IA Load Pricing Results'!J47</f>
        <v>0</v>
      </c>
      <c r="AB28" s="184">
        <f>IF(Y28=0,0,Z28/Y28)</f>
        <v>0</v>
      </c>
    </row>
    <row r="29" spans="1:28" ht="12.75">
      <c r="A29" s="24" t="s">
        <v>44</v>
      </c>
      <c r="B29" s="101"/>
      <c r="C29" s="101"/>
      <c r="D29" s="101"/>
      <c r="E29" s="165">
        <f>IF(B29="MAAC",$I$5*'1st IA Load Pricing Results'!J48/'1st IA Load Pricing Results'!$B$14,0)</f>
        <v>0</v>
      </c>
      <c r="F29" s="488">
        <f>E29*$F$19</f>
        <v>0</v>
      </c>
      <c r="G29" s="165">
        <f>IF(C29="EMAAC",$I$6*'1st IA Load Pricing Results'!J48/'1st IA Load Pricing Results'!$B$15,0)</f>
        <v>0</v>
      </c>
      <c r="H29" s="488">
        <f t="shared" si="11"/>
        <v>0</v>
      </c>
      <c r="I29" s="165">
        <f>IF(C29="SWMAAC",$I$7*'1st IA Load Pricing Results'!J48/'1st IA Load Pricing Results'!$B$16,0)</f>
        <v>0</v>
      </c>
      <c r="J29" s="488">
        <f>I29*$J$19</f>
        <v>0</v>
      </c>
      <c r="K29" s="165">
        <f>IF(D29="PS",$I$8*'1st IA Load Pricing Results'!J48/'1st IA Load Pricing Results'!$J$58,0)</f>
        <v>0</v>
      </c>
      <c r="L29" s="488">
        <f t="shared" si="12"/>
        <v>0</v>
      </c>
      <c r="M29" s="165">
        <f>IF(D29="DPL",$I$9*'1st IA Load Pricing Results'!J48/'1st IA Load Pricing Results'!$J$50,0)</f>
        <v>0</v>
      </c>
      <c r="N29" s="488">
        <f t="shared" si="3"/>
        <v>0</v>
      </c>
      <c r="O29" s="165">
        <f>IF(D29="PEPCO",$I$10*'1st IA Load Pricing Results'!J48/'1st IA Load Pricing Results'!$J$56,0)</f>
        <v>0</v>
      </c>
      <c r="P29" s="488">
        <f t="shared" si="9"/>
        <v>0</v>
      </c>
      <c r="Q29" s="165">
        <f>IF(D29="ATSI",$I$11*'1st IA Load Pricing Results'!J48/'1st IA Load Pricing Results'!$J$43,0)</f>
        <v>0</v>
      </c>
      <c r="R29" s="488">
        <f t="shared" si="10"/>
        <v>0</v>
      </c>
      <c r="S29" s="165">
        <f>IF(D29="COMED",$I$12*'1st IA Load Pricing Results'!J48/'1st IA Load Pricing Results'!$J$45,0)</f>
        <v>0</v>
      </c>
      <c r="T29" s="488">
        <f t="shared" si="4"/>
        <v>0</v>
      </c>
      <c r="U29" s="165">
        <f>IF(D29="BGE",$I$13*'1st IA Load Pricing Results'!J48/'1st IA Load Pricing Results'!$J$44,0)</f>
        <v>0</v>
      </c>
      <c r="V29" s="488">
        <f t="shared" si="5"/>
        <v>0</v>
      </c>
      <c r="W29" s="165">
        <f>IF(D29="PL",$I$14*'1st IA Load Pricing Results'!J48/'1st IA Load Pricing Results'!$J$57,0)</f>
        <v>0</v>
      </c>
      <c r="X29" s="488">
        <f t="shared" si="6"/>
        <v>0</v>
      </c>
      <c r="Y29" s="52">
        <f t="shared" si="7"/>
        <v>0</v>
      </c>
      <c r="Z29" s="33">
        <f t="shared" si="8"/>
        <v>0</v>
      </c>
      <c r="AA29" s="184">
        <f>Z29/'1st IA Load Pricing Results'!J48</f>
        <v>0</v>
      </c>
      <c r="AB29" s="184">
        <f t="shared" si="15"/>
        <v>0</v>
      </c>
    </row>
    <row r="30" spans="1:28" ht="12.75">
      <c r="A30" s="24" t="s">
        <v>31</v>
      </c>
      <c r="B30" s="101"/>
      <c r="C30" s="101"/>
      <c r="D30" s="101"/>
      <c r="E30" s="165">
        <f>IF(B30="MAAC",$I$5*'1st IA Load Pricing Results'!J49/'1st IA Load Pricing Results'!$B$14,0)</f>
        <v>0</v>
      </c>
      <c r="F30" s="488">
        <f t="shared" si="13"/>
        <v>0</v>
      </c>
      <c r="G30" s="165">
        <f>IF(C30="EMAAC",$I$6*'1st IA Load Pricing Results'!J49/'1st IA Load Pricing Results'!$B$15,0)</f>
        <v>0</v>
      </c>
      <c r="H30" s="488">
        <f t="shared" si="11"/>
        <v>0</v>
      </c>
      <c r="I30" s="165">
        <f>IF(C30="SWMAAC",$I$7*'1st IA Load Pricing Results'!J49/'1st IA Load Pricing Results'!$B$16,0)</f>
        <v>0</v>
      </c>
      <c r="J30" s="488">
        <f>I30*$J$19</f>
        <v>0</v>
      </c>
      <c r="K30" s="165">
        <f>IF(D30="PS",$I$8*'1st IA Load Pricing Results'!J49/'1st IA Load Pricing Results'!$J$58,0)</f>
        <v>0</v>
      </c>
      <c r="L30" s="488">
        <f t="shared" si="12"/>
        <v>0</v>
      </c>
      <c r="M30" s="165">
        <f>IF(D30="DPL",$I$9*'1st IA Load Pricing Results'!J49/'1st IA Load Pricing Results'!$J$50,0)</f>
        <v>0</v>
      </c>
      <c r="N30" s="488">
        <f t="shared" si="3"/>
        <v>0</v>
      </c>
      <c r="O30" s="165">
        <f>IF(D30="PEPCO",$I$10*'1st IA Load Pricing Results'!J49/'1st IA Load Pricing Results'!$J$56,0)</f>
        <v>0</v>
      </c>
      <c r="P30" s="488">
        <f t="shared" si="9"/>
        <v>0</v>
      </c>
      <c r="Q30" s="165">
        <f>IF(D30="ATSI",$I$11*'1st IA Load Pricing Results'!J49/'1st IA Load Pricing Results'!$J$43,0)</f>
        <v>0</v>
      </c>
      <c r="R30" s="488">
        <f t="shared" si="10"/>
        <v>0</v>
      </c>
      <c r="S30" s="165">
        <f>IF(D30="COMED",$I$12*'1st IA Load Pricing Results'!J49/'1st IA Load Pricing Results'!$J$45,0)</f>
        <v>0</v>
      </c>
      <c r="T30" s="488">
        <f t="shared" si="4"/>
        <v>0</v>
      </c>
      <c r="U30" s="165">
        <f>IF(D30="BGE",$I$13*'1st IA Load Pricing Results'!J49/'1st IA Load Pricing Results'!$J$44,0)</f>
        <v>0</v>
      </c>
      <c r="V30" s="488">
        <f t="shared" si="5"/>
        <v>0</v>
      </c>
      <c r="W30" s="165">
        <f>IF(D30="PL",$I$14*'1st IA Load Pricing Results'!J49/'1st IA Load Pricing Results'!$J$57,0)</f>
        <v>0</v>
      </c>
      <c r="X30" s="488">
        <f t="shared" si="6"/>
        <v>0</v>
      </c>
      <c r="Y30" s="52">
        <f t="shared" si="7"/>
        <v>0</v>
      </c>
      <c r="Z30" s="33">
        <f t="shared" si="8"/>
        <v>0</v>
      </c>
      <c r="AA30" s="184">
        <f>Z30/'1st IA Load Pricing Results'!J49</f>
        <v>0</v>
      </c>
      <c r="AB30" s="184">
        <f t="shared" si="15"/>
        <v>0</v>
      </c>
    </row>
    <row r="31" spans="1:28" ht="12.75">
      <c r="A31" s="24" t="s">
        <v>17</v>
      </c>
      <c r="B31" s="101" t="s">
        <v>29</v>
      </c>
      <c r="C31" s="101" t="s">
        <v>35</v>
      </c>
      <c r="D31" s="101" t="s">
        <v>17</v>
      </c>
      <c r="E31" s="165">
        <f>IF(B31="MAAC",$I$5*'1st IA Load Pricing Results'!J50/'1st IA Load Pricing Results'!$B$14,0)</f>
        <v>0</v>
      </c>
      <c r="F31" s="488">
        <f t="shared" si="13"/>
        <v>0</v>
      </c>
      <c r="G31" s="165">
        <f>IF(C31="EMAAC",$I$6*'1st IA Load Pricing Results'!J50/'1st IA Load Pricing Results'!$B$15,0)</f>
        <v>531.7337178754728</v>
      </c>
      <c r="H31" s="488">
        <f>G31*$H$19</f>
        <v>10567.061893835955</v>
      </c>
      <c r="I31" s="165">
        <f>IF(C31="SWMAAC",$I$7*'1st IA Load Pricing Results'!J50/'1st IA Load Pricing Results'!$B$16,0)</f>
        <v>0</v>
      </c>
      <c r="J31" s="488">
        <f t="shared" si="14"/>
        <v>0</v>
      </c>
      <c r="K31" s="165">
        <f>IF(D31="PS",$I$8*'1st IA Load Pricing Results'!J50/'1st IA Load Pricing Results'!$J$58,0)</f>
        <v>0</v>
      </c>
      <c r="L31" s="488">
        <f t="shared" si="12"/>
        <v>0</v>
      </c>
      <c r="M31" s="165">
        <f>IF(D31="DPL",$I$9*'1st IA Load Pricing Results'!J50/'1st IA Load Pricing Results'!$J$50,0)</f>
        <v>0</v>
      </c>
      <c r="N31" s="488">
        <f t="shared" si="3"/>
        <v>0</v>
      </c>
      <c r="O31" s="165">
        <f>IF(D31="PEPCO",$I$10*'1st IA Load Pricing Results'!J50/'1st IA Load Pricing Results'!$J$56,0)</f>
        <v>0</v>
      </c>
      <c r="P31" s="488">
        <f t="shared" si="9"/>
        <v>0</v>
      </c>
      <c r="Q31" s="165">
        <f>IF(D31="ATSI",$I$11*'1st IA Load Pricing Results'!J50/'1st IA Load Pricing Results'!$J$43,0)</f>
        <v>0</v>
      </c>
      <c r="R31" s="488">
        <f t="shared" si="10"/>
        <v>0</v>
      </c>
      <c r="S31" s="165">
        <f>IF(D31="COMED",$I$12*'1st IA Load Pricing Results'!J50/'1st IA Load Pricing Results'!$J$45,0)</f>
        <v>0</v>
      </c>
      <c r="T31" s="488">
        <f t="shared" si="4"/>
        <v>0</v>
      </c>
      <c r="U31" s="165">
        <f>IF(D31="BGE",$I$13*'1st IA Load Pricing Results'!J50/'1st IA Load Pricing Results'!$J$44,0)</f>
        <v>0</v>
      </c>
      <c r="V31" s="488">
        <f t="shared" si="5"/>
        <v>0</v>
      </c>
      <c r="W31" s="165">
        <f>IF(D31="PL",$I$14*'1st IA Load Pricing Results'!J50/'1st IA Load Pricing Results'!$J$57,0)</f>
        <v>0</v>
      </c>
      <c r="X31" s="488">
        <f t="shared" si="6"/>
        <v>0</v>
      </c>
      <c r="Y31" s="52">
        <f t="shared" si="7"/>
        <v>531.7337178754728</v>
      </c>
      <c r="Z31" s="33">
        <f t="shared" si="8"/>
        <v>10567.061893835955</v>
      </c>
      <c r="AA31" s="184">
        <f>Z31/'1st IA Load Pricing Results'!J50</f>
        <v>2.3374215368756546</v>
      </c>
      <c r="AB31" s="184">
        <f t="shared" si="15"/>
        <v>19.872845258067052</v>
      </c>
    </row>
    <row r="32" spans="1:28" ht="12.75">
      <c r="A32" s="24" t="s">
        <v>131</v>
      </c>
      <c r="B32" s="101"/>
      <c r="C32" s="101"/>
      <c r="D32" s="101"/>
      <c r="E32" s="165">
        <f>IF(B32="MAAC",$I$5*'1st IA Load Pricing Results'!J51/'1st IA Load Pricing Results'!$B$14,0)</f>
        <v>0</v>
      </c>
      <c r="F32" s="488">
        <f>E32*$F$19</f>
        <v>0</v>
      </c>
      <c r="G32" s="165">
        <f>IF(C32="EMAAC",$I$6*'1st IA Load Pricing Results'!J51/'1st IA Load Pricing Results'!$B$15,0)</f>
        <v>0</v>
      </c>
      <c r="H32" s="488">
        <f t="shared" si="11"/>
        <v>0</v>
      </c>
      <c r="I32" s="165">
        <f>IF(C32="SWMAAC",$I$7*'1st IA Load Pricing Results'!J51/'1st IA Load Pricing Results'!$B$16,0)</f>
        <v>0</v>
      </c>
      <c r="J32" s="488">
        <f>I32*$J$19</f>
        <v>0</v>
      </c>
      <c r="K32" s="165">
        <f>IF(D32="PS",$I$8*'1st IA Load Pricing Results'!J51/'1st IA Load Pricing Results'!$J$58,0)</f>
        <v>0</v>
      </c>
      <c r="L32" s="488">
        <f>K32*$L$19</f>
        <v>0</v>
      </c>
      <c r="M32" s="165">
        <f>IF(D32="DPL",$I$9*'1st IA Load Pricing Results'!J51/'1st IA Load Pricing Results'!$J$50,0)</f>
        <v>0</v>
      </c>
      <c r="N32" s="488">
        <f t="shared" si="3"/>
        <v>0</v>
      </c>
      <c r="O32" s="165">
        <f>IF(D32="PEPCO",$I$10*'1st IA Load Pricing Results'!J51/'1st IA Load Pricing Results'!$J$56,0)</f>
        <v>0</v>
      </c>
      <c r="P32" s="488">
        <f>O32*$P$19</f>
        <v>0</v>
      </c>
      <c r="Q32" s="165">
        <f>IF(D32="ATSI",$I$11*'1st IA Load Pricing Results'!J51/'1st IA Load Pricing Results'!$J$43,0)</f>
        <v>0</v>
      </c>
      <c r="R32" s="488">
        <f>Q32*$R$19</f>
        <v>0</v>
      </c>
      <c r="S32" s="165">
        <f>IF(D32="COMED",$I$12*'1st IA Load Pricing Results'!J51/'1st IA Load Pricing Results'!$J$45,0)</f>
        <v>0</v>
      </c>
      <c r="T32" s="488">
        <f t="shared" si="4"/>
        <v>0</v>
      </c>
      <c r="U32" s="165">
        <f>IF(D32="BGE",$I$13*'1st IA Load Pricing Results'!J51/'1st IA Load Pricing Results'!$J$44,0)</f>
        <v>0</v>
      </c>
      <c r="V32" s="488">
        <f t="shared" si="5"/>
        <v>0</v>
      </c>
      <c r="W32" s="165">
        <f>IF(D32="PL",$I$14*'1st IA Load Pricing Results'!J51/'1st IA Load Pricing Results'!$J$57,0)</f>
        <v>0</v>
      </c>
      <c r="X32" s="488">
        <f t="shared" si="6"/>
        <v>0</v>
      </c>
      <c r="Y32" s="52">
        <f t="shared" si="7"/>
        <v>0</v>
      </c>
      <c r="Z32" s="33">
        <f t="shared" si="8"/>
        <v>0</v>
      </c>
      <c r="AA32" s="184">
        <f>Z32/'1st IA Load Pricing Results'!J51</f>
        <v>0</v>
      </c>
      <c r="AB32" s="184">
        <f>IF(Y32=0,0,Z32/Y32)</f>
        <v>0</v>
      </c>
    </row>
    <row r="33" spans="1:28" ht="12.75">
      <c r="A33" s="24" t="s">
        <v>12</v>
      </c>
      <c r="B33" s="101" t="s">
        <v>29</v>
      </c>
      <c r="C33" s="101" t="s">
        <v>35</v>
      </c>
      <c r="D33" s="101"/>
      <c r="E33" s="165">
        <f>IF(B33="MAAC",$I$5*'1st IA Load Pricing Results'!J52/'1st IA Load Pricing Results'!$B$14,0)</f>
        <v>0</v>
      </c>
      <c r="F33" s="488">
        <f t="shared" si="13"/>
        <v>0</v>
      </c>
      <c r="G33" s="165">
        <f>IF(C33="EMAAC",$I$6*'1st IA Load Pricing Results'!J52/'1st IA Load Pricing Results'!$B$15,0)</f>
        <v>804.3930462415541</v>
      </c>
      <c r="H33" s="488">
        <f>G33*$H$19</f>
        <v>15985.578534623579</v>
      </c>
      <c r="I33" s="165">
        <f>IF(C33="SWMAAC",$I$7*'1st IA Load Pricing Results'!J52/'1st IA Load Pricing Results'!$B$16,0)</f>
        <v>0</v>
      </c>
      <c r="J33" s="488">
        <f t="shared" si="14"/>
        <v>0</v>
      </c>
      <c r="K33" s="165">
        <f>IF(D33="PS",$I$8*'1st IA Load Pricing Results'!J52/'1st IA Load Pricing Results'!$J$58,0)</f>
        <v>0</v>
      </c>
      <c r="L33" s="488">
        <f t="shared" si="12"/>
        <v>0</v>
      </c>
      <c r="M33" s="165">
        <f>IF(D33="DPL",$I$9*'1st IA Load Pricing Results'!J52/'1st IA Load Pricing Results'!$J$50,0)</f>
        <v>0</v>
      </c>
      <c r="N33" s="488">
        <f t="shared" si="3"/>
        <v>0</v>
      </c>
      <c r="O33" s="165">
        <f>IF(D33="PEPCO",$I$10*'1st IA Load Pricing Results'!J52/'1st IA Load Pricing Results'!$J$56,0)</f>
        <v>0</v>
      </c>
      <c r="P33" s="488">
        <f t="shared" si="9"/>
        <v>0</v>
      </c>
      <c r="Q33" s="165">
        <f>IF(D33="ATSI",$I$11*'1st IA Load Pricing Results'!J52/'1st IA Load Pricing Results'!$J$43,0)</f>
        <v>0</v>
      </c>
      <c r="R33" s="488">
        <f t="shared" si="10"/>
        <v>0</v>
      </c>
      <c r="S33" s="165">
        <f>IF(D33="COMED",$I$12*'1st IA Load Pricing Results'!J52/'1st IA Load Pricing Results'!$J$45,0)</f>
        <v>0</v>
      </c>
      <c r="T33" s="488">
        <f t="shared" si="4"/>
        <v>0</v>
      </c>
      <c r="U33" s="165">
        <f>IF(D33="BGE",$I$13*'1st IA Load Pricing Results'!J52/'1st IA Load Pricing Results'!$J$44,0)</f>
        <v>0</v>
      </c>
      <c r="V33" s="488">
        <f t="shared" si="5"/>
        <v>0</v>
      </c>
      <c r="W33" s="165">
        <f>IF(D33="PL",$I$14*'1st IA Load Pricing Results'!J52/'1st IA Load Pricing Results'!$J$57,0)</f>
        <v>0</v>
      </c>
      <c r="X33" s="488">
        <f>W33*$X$19</f>
        <v>0</v>
      </c>
      <c r="Y33" s="52">
        <f t="shared" si="7"/>
        <v>804.3930462415541</v>
      </c>
      <c r="Z33" s="33">
        <f t="shared" si="8"/>
        <v>15985.578534623579</v>
      </c>
      <c r="AA33" s="184">
        <f>Z33/'1st IA Load Pricing Results'!J52</f>
        <v>2.337421536875654</v>
      </c>
      <c r="AB33" s="184">
        <f t="shared" si="15"/>
        <v>19.872845258067052</v>
      </c>
    </row>
    <row r="34" spans="1:28" ht="12.75">
      <c r="A34" s="24" t="s">
        <v>13</v>
      </c>
      <c r="B34" s="101" t="s">
        <v>29</v>
      </c>
      <c r="C34" s="101"/>
      <c r="D34" s="101"/>
      <c r="E34" s="165">
        <f>IF(B34="MAAC",$I$5*'1st IA Load Pricing Results'!J53/'1st IA Load Pricing Results'!$B$14,0)</f>
        <v>0</v>
      </c>
      <c r="F34" s="488">
        <f t="shared" si="13"/>
        <v>0</v>
      </c>
      <c r="G34" s="165">
        <f>IF(C34="EMAAC",$I$6*'1st IA Load Pricing Results'!J53/'1st IA Load Pricing Results'!$B$15,0)</f>
        <v>0</v>
      </c>
      <c r="H34" s="488">
        <f>G34*$H$19</f>
        <v>0</v>
      </c>
      <c r="I34" s="165">
        <f>IF(C34="SWMAAC",$I$7*'1st IA Load Pricing Results'!J53/'1st IA Load Pricing Results'!$B$16,0)</f>
        <v>0</v>
      </c>
      <c r="J34" s="488">
        <f t="shared" si="14"/>
        <v>0</v>
      </c>
      <c r="K34" s="165">
        <f>IF(D34="PS",$I$8*'1st IA Load Pricing Results'!J53/'1st IA Load Pricing Results'!$J$58,0)</f>
        <v>0</v>
      </c>
      <c r="L34" s="488">
        <f t="shared" si="12"/>
        <v>0</v>
      </c>
      <c r="M34" s="165">
        <f>IF(D34="DPL",$I$9*'1st IA Load Pricing Results'!J53/'1st IA Load Pricing Results'!$J$50,0)</f>
        <v>0</v>
      </c>
      <c r="N34" s="488">
        <f t="shared" si="3"/>
        <v>0</v>
      </c>
      <c r="O34" s="165">
        <f>IF(D34="PEPCO",$I$10*'1st IA Load Pricing Results'!J53/'1st IA Load Pricing Results'!$J$56,0)</f>
        <v>0</v>
      </c>
      <c r="P34" s="488">
        <f t="shared" si="9"/>
        <v>0</v>
      </c>
      <c r="Q34" s="165">
        <f>IF(D34="ATSI",$I$11*'1st IA Load Pricing Results'!J53/'1st IA Load Pricing Results'!$J$43,0)</f>
        <v>0</v>
      </c>
      <c r="R34" s="488">
        <f t="shared" si="10"/>
        <v>0</v>
      </c>
      <c r="S34" s="165">
        <f>IF(D34="COMED",$I$12*'1st IA Load Pricing Results'!J53/'1st IA Load Pricing Results'!$J$45,0)</f>
        <v>0</v>
      </c>
      <c r="T34" s="488">
        <f t="shared" si="4"/>
        <v>0</v>
      </c>
      <c r="U34" s="165">
        <f>IF(D34="BGE",$I$13*'1st IA Load Pricing Results'!J53/'1st IA Load Pricing Results'!$J$44,0)</f>
        <v>0</v>
      </c>
      <c r="V34" s="488">
        <f t="shared" si="5"/>
        <v>0</v>
      </c>
      <c r="W34" s="165">
        <f>IF(D34="PL",$I$14*'1st IA Load Pricing Results'!J53/'1st IA Load Pricing Results'!$J$57,0)</f>
        <v>0</v>
      </c>
      <c r="X34" s="488">
        <f t="shared" si="6"/>
        <v>0</v>
      </c>
      <c r="Y34" s="52">
        <f t="shared" si="7"/>
        <v>0</v>
      </c>
      <c r="Z34" s="33">
        <f t="shared" si="8"/>
        <v>0</v>
      </c>
      <c r="AA34" s="184">
        <f>Z34/'1st IA Load Pricing Results'!J53</f>
        <v>0</v>
      </c>
      <c r="AB34" s="184">
        <f t="shared" si="15"/>
        <v>0</v>
      </c>
    </row>
    <row r="35" spans="1:28" ht="12.75">
      <c r="A35" s="24" t="s">
        <v>9</v>
      </c>
      <c r="B35" s="101" t="s">
        <v>29</v>
      </c>
      <c r="C35" s="101" t="s">
        <v>35</v>
      </c>
      <c r="D35" s="101"/>
      <c r="E35" s="165">
        <f>IF(B35="MAAC",$I$5*'1st IA Load Pricing Results'!J54/'1st IA Load Pricing Results'!$B$14,0)</f>
        <v>0</v>
      </c>
      <c r="F35" s="488">
        <f t="shared" si="13"/>
        <v>0</v>
      </c>
      <c r="G35" s="165">
        <f>IF(C35="EMAAC",$I$6*'1st IA Load Pricing Results'!J54/'1st IA Load Pricing Results'!$B$15,0)</f>
        <v>1145.5259553095348</v>
      </c>
      <c r="H35" s="488">
        <f>G35*$H$19</f>
        <v>22764.860048965817</v>
      </c>
      <c r="I35" s="165">
        <f>IF(C35="SWMAAC",$I$7*'1st IA Load Pricing Results'!J54/'1st IA Load Pricing Results'!$B$16,0)</f>
        <v>0</v>
      </c>
      <c r="J35" s="488">
        <f t="shared" si="14"/>
        <v>0</v>
      </c>
      <c r="K35" s="165">
        <f>IF(D35="PS",$I$8*'1st IA Load Pricing Results'!J54/'1st IA Load Pricing Results'!$J$58,0)</f>
        <v>0</v>
      </c>
      <c r="L35" s="488">
        <f t="shared" si="12"/>
        <v>0</v>
      </c>
      <c r="M35" s="165">
        <f>IF(D35="DPL",$I$9*'1st IA Load Pricing Results'!J54/'1st IA Load Pricing Results'!$J$50,0)</f>
        <v>0</v>
      </c>
      <c r="N35" s="488">
        <f t="shared" si="3"/>
        <v>0</v>
      </c>
      <c r="O35" s="165">
        <f>IF(D35="PEPCO",$I$10*'1st IA Load Pricing Results'!J54/'1st IA Load Pricing Results'!$J$56,0)</f>
        <v>0</v>
      </c>
      <c r="P35" s="488">
        <f t="shared" si="9"/>
        <v>0</v>
      </c>
      <c r="Q35" s="165">
        <f>IF(D35="ATSI",$I$11*'1st IA Load Pricing Results'!J54/'1st IA Load Pricing Results'!$J$43,0)</f>
        <v>0</v>
      </c>
      <c r="R35" s="488">
        <f t="shared" si="10"/>
        <v>0</v>
      </c>
      <c r="S35" s="165">
        <f>IF(D35="COMED",$I$12*'1st IA Load Pricing Results'!J54/'1st IA Load Pricing Results'!$J$45,0)</f>
        <v>0</v>
      </c>
      <c r="T35" s="488">
        <f t="shared" si="4"/>
        <v>0</v>
      </c>
      <c r="U35" s="165">
        <f>IF(D35="BGE",$I$13*'1st IA Load Pricing Results'!J54/'1st IA Load Pricing Results'!$J$44,0)</f>
        <v>0</v>
      </c>
      <c r="V35" s="488">
        <f t="shared" si="5"/>
        <v>0</v>
      </c>
      <c r="W35" s="165">
        <f>IF(D35="PL",$I$14*'1st IA Load Pricing Results'!J54/'1st IA Load Pricing Results'!$J$57,0)</f>
        <v>0</v>
      </c>
      <c r="X35" s="488">
        <f t="shared" si="6"/>
        <v>0</v>
      </c>
      <c r="Y35" s="52">
        <f t="shared" si="7"/>
        <v>1145.5259553095348</v>
      </c>
      <c r="Z35" s="33">
        <f t="shared" si="8"/>
        <v>22764.860048965817</v>
      </c>
      <c r="AA35" s="184">
        <f>Z35/'1st IA Load Pricing Results'!J54</f>
        <v>2.337421536875654</v>
      </c>
      <c r="AB35" s="184">
        <f t="shared" si="15"/>
        <v>19.872845258067052</v>
      </c>
    </row>
    <row r="36" spans="1:28" ht="12.75">
      <c r="A36" s="24" t="s">
        <v>14</v>
      </c>
      <c r="B36" s="101" t="s">
        <v>29</v>
      </c>
      <c r="C36" s="101"/>
      <c r="D36" s="101"/>
      <c r="E36" s="165">
        <f>IF(B36="MAAC",$I$5*'1st IA Load Pricing Results'!J55/'1st IA Load Pricing Results'!$B$14,0)</f>
        <v>0</v>
      </c>
      <c r="F36" s="488">
        <f t="shared" si="13"/>
        <v>0</v>
      </c>
      <c r="G36" s="165">
        <f>IF(C36="EMAAC",$I$6*'1st IA Load Pricing Results'!J55/'1st IA Load Pricing Results'!$B$15,0)</f>
        <v>0</v>
      </c>
      <c r="H36" s="488">
        <f t="shared" si="11"/>
        <v>0</v>
      </c>
      <c r="I36" s="165">
        <f>IF(C36="SWMAAC",$I$7*'1st IA Load Pricing Results'!J55/'1st IA Load Pricing Results'!$B$16,0)</f>
        <v>0</v>
      </c>
      <c r="J36" s="488">
        <f t="shared" si="14"/>
        <v>0</v>
      </c>
      <c r="K36" s="165">
        <f>IF(D36="PS",$I$8*'1st IA Load Pricing Results'!J55/'1st IA Load Pricing Results'!$J$58,0)</f>
        <v>0</v>
      </c>
      <c r="L36" s="488">
        <f t="shared" si="12"/>
        <v>0</v>
      </c>
      <c r="M36" s="165">
        <f>IF(D36="DPL",$I$9*'1st IA Load Pricing Results'!J55/'1st IA Load Pricing Results'!$J$50,0)</f>
        <v>0</v>
      </c>
      <c r="N36" s="488">
        <f t="shared" si="3"/>
        <v>0</v>
      </c>
      <c r="O36" s="165">
        <f>IF(D36="PEPCO",$I$10*'1st IA Load Pricing Results'!J55/'1st IA Load Pricing Results'!$J$56,0)</f>
        <v>0</v>
      </c>
      <c r="P36" s="488">
        <f t="shared" si="9"/>
        <v>0</v>
      </c>
      <c r="Q36" s="165">
        <f>IF(D36="ATSI",$I$11*'1st IA Load Pricing Results'!J55/'1st IA Load Pricing Results'!$J$43,0)</f>
        <v>0</v>
      </c>
      <c r="R36" s="488">
        <f t="shared" si="10"/>
        <v>0</v>
      </c>
      <c r="S36" s="165">
        <f>IF(D36="COMED",$I$12*'1st IA Load Pricing Results'!J55/'1st IA Load Pricing Results'!$J$45,0)</f>
        <v>0</v>
      </c>
      <c r="T36" s="488">
        <f t="shared" si="4"/>
        <v>0</v>
      </c>
      <c r="U36" s="165">
        <f>IF(D36="BGE",$I$13*'1st IA Load Pricing Results'!J55/'1st IA Load Pricing Results'!$J$44,0)</f>
        <v>0</v>
      </c>
      <c r="V36" s="488">
        <f t="shared" si="5"/>
        <v>0</v>
      </c>
      <c r="W36" s="165">
        <f>IF(D36="PL",$I$14*'1st IA Load Pricing Results'!J55/'1st IA Load Pricing Results'!$J$57,0)</f>
        <v>0</v>
      </c>
      <c r="X36" s="488">
        <f t="shared" si="6"/>
        <v>0</v>
      </c>
      <c r="Y36" s="52">
        <f t="shared" si="7"/>
        <v>0</v>
      </c>
      <c r="Z36" s="33">
        <f t="shared" si="8"/>
        <v>0</v>
      </c>
      <c r="AA36" s="184">
        <f>Z36/'1st IA Load Pricing Results'!J55</f>
        <v>0</v>
      </c>
      <c r="AB36" s="184">
        <f t="shared" si="15"/>
        <v>0</v>
      </c>
    </row>
    <row r="37" spans="1:28" ht="12.75">
      <c r="A37" s="24" t="s">
        <v>15</v>
      </c>
      <c r="B37" s="101" t="s">
        <v>29</v>
      </c>
      <c r="C37" s="101" t="s">
        <v>5</v>
      </c>
      <c r="D37" s="101" t="s">
        <v>15</v>
      </c>
      <c r="E37" s="165">
        <f>IF(B37="MAAC",$I$5*'1st IA Load Pricing Results'!J56/'1st IA Load Pricing Results'!$B$14,0)</f>
        <v>0</v>
      </c>
      <c r="F37" s="488">
        <f t="shared" si="13"/>
        <v>0</v>
      </c>
      <c r="G37" s="165">
        <f>IF(C37="EMAAC",$I$6*'1st IA Load Pricing Results'!J56/'1st IA Load Pricing Results'!$B$15,0)</f>
        <v>0</v>
      </c>
      <c r="H37" s="488">
        <f t="shared" si="11"/>
        <v>0</v>
      </c>
      <c r="I37" s="165">
        <f>IF(C37="SWMAAC",$I$7*'1st IA Load Pricing Results'!J56/'1st IA Load Pricing Results'!$B$16,0)</f>
        <v>1733.5999892855687</v>
      </c>
      <c r="J37" s="488">
        <f t="shared" si="14"/>
        <v>0</v>
      </c>
      <c r="K37" s="165">
        <f>IF(D37="PS",$I$8*'1st IA Load Pricing Results'!J56/'1st IA Load Pricing Results'!$J$58,0)</f>
        <v>0</v>
      </c>
      <c r="L37" s="488">
        <f t="shared" si="12"/>
        <v>0</v>
      </c>
      <c r="M37" s="165">
        <f>IF(D37="DPL",$I$9*'1st IA Load Pricing Results'!J56/'1st IA Load Pricing Results'!$J$50,0)</f>
        <v>0</v>
      </c>
      <c r="N37" s="488">
        <f>M37*$N$19</f>
        <v>0</v>
      </c>
      <c r="O37" s="165">
        <f>IF(D37="PEPCO",$I$10*'1st IA Load Pricing Results'!J56/'1st IA Load Pricing Results'!$J$56,0)</f>
        <v>1600.878132928552</v>
      </c>
      <c r="P37" s="488">
        <f>O37*$P$19</f>
        <v>0</v>
      </c>
      <c r="Q37" s="165">
        <f>IF(D37="ATSI",$I$11*'1st IA Load Pricing Results'!J56/'1st IA Load Pricing Results'!$J$43,0)</f>
        <v>0</v>
      </c>
      <c r="R37" s="488">
        <f>Q37*$R$19</f>
        <v>0</v>
      </c>
      <c r="S37" s="165">
        <f>IF(D37="COMED",$I$12*'1st IA Load Pricing Results'!J56/'1st IA Load Pricing Results'!$J$45,0)</f>
        <v>0</v>
      </c>
      <c r="T37" s="488">
        <f t="shared" si="4"/>
        <v>0</v>
      </c>
      <c r="U37" s="165">
        <f>IF(D37="BGE",$I$13*'1st IA Load Pricing Results'!J56/'1st IA Load Pricing Results'!$J$44,0)</f>
        <v>0</v>
      </c>
      <c r="V37" s="488">
        <f t="shared" si="5"/>
        <v>0</v>
      </c>
      <c r="W37" s="165">
        <f>IF(D37="PL",$I$14*'1st IA Load Pricing Results'!J56/'1st IA Load Pricing Results'!$J$57,0)</f>
        <v>0</v>
      </c>
      <c r="X37" s="488">
        <f>W37*$X$19</f>
        <v>0</v>
      </c>
      <c r="Y37" s="52">
        <f t="shared" si="7"/>
        <v>1733.5999892855687</v>
      </c>
      <c r="Z37" s="33">
        <f t="shared" si="8"/>
        <v>0</v>
      </c>
      <c r="AA37" s="184">
        <f>Z37/'1st IA Load Pricing Results'!J56</f>
        <v>0</v>
      </c>
      <c r="AB37" s="184">
        <f t="shared" si="15"/>
        <v>0</v>
      </c>
    </row>
    <row r="38" spans="1:28" ht="12.75">
      <c r="A38" s="24" t="s">
        <v>10</v>
      </c>
      <c r="B38" s="101" t="s">
        <v>29</v>
      </c>
      <c r="C38" s="101"/>
      <c r="D38" s="101" t="s">
        <v>10</v>
      </c>
      <c r="E38" s="165">
        <f>IF(B38="MAAC",$I$5*'1st IA Load Pricing Results'!J57/'1st IA Load Pricing Results'!$B$14,0)</f>
        <v>0</v>
      </c>
      <c r="F38" s="488">
        <f t="shared" si="13"/>
        <v>0</v>
      </c>
      <c r="G38" s="165">
        <f>IF(C38="EMAAC",$I$6*'1st IA Load Pricing Results'!J57/'1st IA Load Pricing Results'!$B$15,0)</f>
        <v>0</v>
      </c>
      <c r="H38" s="488">
        <f t="shared" si="11"/>
        <v>0</v>
      </c>
      <c r="I38" s="165">
        <f>IF(C38="SWMAAC",$I$7*'1st IA Load Pricing Results'!J57/'1st IA Load Pricing Results'!$B$16,0)</f>
        <v>0</v>
      </c>
      <c r="J38" s="488">
        <f t="shared" si="14"/>
        <v>0</v>
      </c>
      <c r="K38" s="165">
        <f>IF(D38="PS",$I$8*'1st IA Load Pricing Results'!J57/'1st IA Load Pricing Results'!$J$58,0)</f>
        <v>0</v>
      </c>
      <c r="L38" s="488">
        <f t="shared" si="12"/>
        <v>0</v>
      </c>
      <c r="M38" s="165">
        <f>IF(D38="DPL",$I$9*'1st IA Load Pricing Results'!J57/'1st IA Load Pricing Results'!$J$50,0)</f>
        <v>0</v>
      </c>
      <c r="N38" s="488">
        <f t="shared" si="3"/>
        <v>0</v>
      </c>
      <c r="O38" s="165">
        <f>IF(D38="PEPCO",$I$10*'1st IA Load Pricing Results'!J57/'1st IA Load Pricing Results'!$J$56,0)</f>
        <v>0</v>
      </c>
      <c r="P38" s="488">
        <f>O38*$P$19</f>
        <v>0</v>
      </c>
      <c r="Q38" s="165">
        <f>IF(D38="ATSI",$I$11*'1st IA Load Pricing Results'!J57/'1st IA Load Pricing Results'!$J$43,0)</f>
        <v>0</v>
      </c>
      <c r="R38" s="488">
        <f t="shared" si="10"/>
        <v>0</v>
      </c>
      <c r="S38" s="165">
        <f>IF(D38="COMED",$I$12*'1st IA Load Pricing Results'!J57/'1st IA Load Pricing Results'!$J$45,0)</f>
        <v>0</v>
      </c>
      <c r="T38" s="488">
        <f t="shared" si="4"/>
        <v>0</v>
      </c>
      <c r="U38" s="165">
        <f>IF(D38="BGE",$I$13*'1st IA Load Pricing Results'!J57/'1st IA Load Pricing Results'!$J$44,0)</f>
        <v>0</v>
      </c>
      <c r="V38" s="488">
        <f t="shared" si="5"/>
        <v>0</v>
      </c>
      <c r="W38" s="165">
        <f>IF(D38="PL",$I$14*'1st IA Load Pricing Results'!J57/'1st IA Load Pricing Results'!$J$57,0)</f>
        <v>0</v>
      </c>
      <c r="X38" s="488">
        <f t="shared" si="6"/>
        <v>0</v>
      </c>
      <c r="Y38" s="52">
        <f t="shared" si="7"/>
        <v>0</v>
      </c>
      <c r="Z38" s="33">
        <f t="shared" si="8"/>
        <v>0</v>
      </c>
      <c r="AA38" s="184">
        <f>Z38/'1st IA Load Pricing Results'!J57</f>
        <v>0</v>
      </c>
      <c r="AB38" s="184">
        <f t="shared" si="15"/>
        <v>0</v>
      </c>
    </row>
    <row r="39" spans="1:28" ht="12.75">
      <c r="A39" s="24" t="s">
        <v>8</v>
      </c>
      <c r="B39" s="101" t="s">
        <v>29</v>
      </c>
      <c r="C39" s="101" t="s">
        <v>35</v>
      </c>
      <c r="D39" s="101" t="s">
        <v>8</v>
      </c>
      <c r="E39" s="165">
        <f>IF(B39="MAAC",$I$5*'1st IA Load Pricing Results'!J58/'1st IA Load Pricing Results'!$B$14,0)</f>
        <v>0</v>
      </c>
      <c r="F39" s="488">
        <f t="shared" si="13"/>
        <v>0</v>
      </c>
      <c r="G39" s="165">
        <f>IF(C39="EMAAC",$I$6*'1st IA Load Pricing Results'!J58/'1st IA Load Pricing Results'!$B$15,0)</f>
        <v>1328.9912406771493</v>
      </c>
      <c r="H39" s="488">
        <f>G39*$H$19</f>
        <v>26410.837275303536</v>
      </c>
      <c r="I39" s="165">
        <f>IF(C39="SWMAAC",$I$7*'1st IA Load Pricing Results'!J58/'1st IA Load Pricing Results'!$B$16,0)</f>
        <v>0</v>
      </c>
      <c r="J39" s="488">
        <f>I39*$J$19</f>
        <v>0</v>
      </c>
      <c r="K39" s="165">
        <f>IF(D39="PS",$I$8*'1st IA Load Pricing Results'!J58/'1st IA Load Pricing Results'!$J$58,0)</f>
        <v>5866.133193837999</v>
      </c>
      <c r="L39" s="488">
        <f>K39*$L$19</f>
        <v>0</v>
      </c>
      <c r="M39" s="165">
        <f>IF(D39="DPL",$I$9*'1st IA Load Pricing Results'!J58/'1st IA Load Pricing Results'!$J$50,0)</f>
        <v>0</v>
      </c>
      <c r="N39" s="488">
        <f t="shared" si="3"/>
        <v>0</v>
      </c>
      <c r="O39" s="165">
        <f>IF(D39="PEPCO",$I$10*'1st IA Load Pricing Results'!J58/'1st IA Load Pricing Results'!$J$56,0)</f>
        <v>0</v>
      </c>
      <c r="P39" s="488">
        <f>O39*$P$19</f>
        <v>0</v>
      </c>
      <c r="Q39" s="165">
        <f>IF(D39="ATSI",$I$11*'1st IA Load Pricing Results'!J58/'1st IA Load Pricing Results'!$J$43,0)</f>
        <v>0</v>
      </c>
      <c r="R39" s="488">
        <f t="shared" si="10"/>
        <v>0</v>
      </c>
      <c r="S39" s="165">
        <f>IF(D39="COMED",$I$12*'1st IA Load Pricing Results'!J58/'1st IA Load Pricing Results'!$J$45,0)</f>
        <v>0</v>
      </c>
      <c r="T39" s="488">
        <f t="shared" si="4"/>
        <v>0</v>
      </c>
      <c r="U39" s="165">
        <f>IF(D39="BGE",$I$13*'1st IA Load Pricing Results'!J58/'1st IA Load Pricing Results'!$J$44,0)</f>
        <v>0</v>
      </c>
      <c r="V39" s="488">
        <f t="shared" si="5"/>
        <v>0</v>
      </c>
      <c r="W39" s="165">
        <f>IF(D39="PL",$I$14*'1st IA Load Pricing Results'!J58/'1st IA Load Pricing Results'!$J$57,0)</f>
        <v>0</v>
      </c>
      <c r="X39" s="488">
        <f t="shared" si="6"/>
        <v>0</v>
      </c>
      <c r="Y39" s="52">
        <f t="shared" si="7"/>
        <v>5866.133193837999</v>
      </c>
      <c r="Z39" s="33">
        <f t="shared" si="8"/>
        <v>26410.837275303536</v>
      </c>
      <c r="AA39" s="184">
        <f>Z39/'1st IA Load Pricing Results'!J58</f>
        <v>2.337421536875654</v>
      </c>
      <c r="AB39" s="184">
        <f>IF(Y39=0,0,Z39/Y39)</f>
        <v>4.502256665949291</v>
      </c>
    </row>
    <row r="40" spans="1:28" ht="12.75">
      <c r="A40" s="24" t="s">
        <v>18</v>
      </c>
      <c r="B40" s="101" t="s">
        <v>29</v>
      </c>
      <c r="C40" s="101" t="s">
        <v>35</v>
      </c>
      <c r="D40" s="101"/>
      <c r="E40" s="165">
        <f>IF(B40="MAAC",$I$5*'1st IA Load Pricing Results'!J59/'1st IA Load Pricing Results'!$B$14,0)</f>
        <v>0</v>
      </c>
      <c r="F40" s="488">
        <f>E40*$F$19</f>
        <v>0</v>
      </c>
      <c r="G40" s="165">
        <f>IF(C40="EMAAC",$I$6*'1st IA Load Pricing Results'!J59/'1st IA Load Pricing Results'!$B$15,0)</f>
        <v>52.96753938062774</v>
      </c>
      <c r="H40" s="488">
        <f>G40*$H$19</f>
        <v>1052.6157138117878</v>
      </c>
      <c r="I40" s="165">
        <f>IF(C40="SWMAAC",$I$7*'1st IA Load Pricing Results'!J59/'1st IA Load Pricing Results'!$B$16,0)</f>
        <v>0</v>
      </c>
      <c r="J40" s="488">
        <f>I40*$J$19</f>
        <v>0</v>
      </c>
      <c r="K40" s="165">
        <f>IF(D40="PS",$I$8*'1st IA Load Pricing Results'!J59/'1st IA Load Pricing Results'!$J$58,0)</f>
        <v>0</v>
      </c>
      <c r="L40" s="488">
        <f>K40*$L$19</f>
        <v>0</v>
      </c>
      <c r="M40" s="165">
        <f>IF(D40="DPL",$I$9*'1st IA Load Pricing Results'!J59/'1st IA Load Pricing Results'!$J$50,0)</f>
        <v>0</v>
      </c>
      <c r="N40" s="488">
        <f t="shared" si="3"/>
        <v>0</v>
      </c>
      <c r="O40" s="165">
        <f>IF(D40="PEPCO",$I$10*'1st IA Load Pricing Results'!J59/'1st IA Load Pricing Results'!$J$56,0)</f>
        <v>0</v>
      </c>
      <c r="P40" s="488">
        <f>O40*$P$19</f>
        <v>0</v>
      </c>
      <c r="Q40" s="165">
        <f>IF(D40="ATSI",$I$11*'1st IA Load Pricing Results'!J59/'1st IA Load Pricing Results'!$J$43,0)</f>
        <v>0</v>
      </c>
      <c r="R40" s="488">
        <f>Q40*$R$19</f>
        <v>0</v>
      </c>
      <c r="S40" s="165">
        <f>IF(D40="COMED",$I$12*'1st IA Load Pricing Results'!J59/'1st IA Load Pricing Results'!$J$45,0)</f>
        <v>0</v>
      </c>
      <c r="T40" s="488">
        <f t="shared" si="4"/>
        <v>0</v>
      </c>
      <c r="U40" s="165">
        <f>IF(D40="BGE",$I$13*'1st IA Load Pricing Results'!J59/'1st IA Load Pricing Results'!$J$44,0)</f>
        <v>0</v>
      </c>
      <c r="V40" s="488">
        <f t="shared" si="5"/>
        <v>0</v>
      </c>
      <c r="W40" s="165">
        <f>IF(D40="PL",$I$14*'1st IA Load Pricing Results'!J59/'1st IA Load Pricing Results'!$J$57,0)</f>
        <v>0</v>
      </c>
      <c r="X40" s="488">
        <f t="shared" si="6"/>
        <v>0</v>
      </c>
      <c r="Y40" s="52">
        <f t="shared" si="7"/>
        <v>52.96753938062774</v>
      </c>
      <c r="Z40" s="33">
        <f t="shared" si="8"/>
        <v>1052.6157138117878</v>
      </c>
      <c r="AA40" s="184">
        <f>Z40/'1st IA Load Pricing Results'!J59</f>
        <v>2.337421536875654</v>
      </c>
      <c r="AB40" s="184">
        <f>IF(Y40=0,0,Z40/Y40)</f>
        <v>19.872845258067052</v>
      </c>
    </row>
    <row r="41" spans="1:28" ht="12.75">
      <c r="A41" s="690" t="s">
        <v>72</v>
      </c>
      <c r="B41" s="690"/>
      <c r="C41" s="690"/>
      <c r="D41" s="690"/>
      <c r="E41" s="489">
        <f aca="true" t="shared" si="16" ref="E41:X41">SUM(E21:E40)</f>
        <v>0</v>
      </c>
      <c r="F41" s="490">
        <f>SUM(F21:F40)</f>
        <v>0</v>
      </c>
      <c r="G41" s="489">
        <f t="shared" si="16"/>
        <v>4191.296691300243</v>
      </c>
      <c r="H41" s="490">
        <f>SUM(H21:H40)</f>
        <v>83292.99057685815</v>
      </c>
      <c r="I41" s="489">
        <f t="shared" si="16"/>
        <v>3536.5220581174067</v>
      </c>
      <c r="J41" s="490">
        <f>SUM(J21:J40)</f>
        <v>0</v>
      </c>
      <c r="K41" s="489">
        <f t="shared" si="16"/>
        <v>5866.133193837999</v>
      </c>
      <c r="L41" s="490">
        <f>SUM(L21:L40)</f>
        <v>0</v>
      </c>
      <c r="M41" s="489">
        <f>SUM(M21:M40)</f>
        <v>0</v>
      </c>
      <c r="N41" s="490">
        <f>SUM(N21:N40)</f>
        <v>0</v>
      </c>
      <c r="O41" s="489">
        <f t="shared" si="16"/>
        <v>1600.878132928552</v>
      </c>
      <c r="P41" s="490">
        <f>SUM(P21:P40)</f>
        <v>0</v>
      </c>
      <c r="Q41" s="489">
        <f t="shared" si="16"/>
        <v>4240.556545805386</v>
      </c>
      <c r="R41" s="490">
        <f t="shared" si="16"/>
        <v>0</v>
      </c>
      <c r="S41" s="489">
        <f t="shared" si="16"/>
        <v>1915.2250153339446</v>
      </c>
      <c r="T41" s="490">
        <f>SUM(T21:T40)</f>
        <v>193249.78520453646</v>
      </c>
      <c r="U41" s="489">
        <f t="shared" si="16"/>
        <v>4699.643925188852</v>
      </c>
      <c r="V41" s="490">
        <f>SUM(V21:V40)</f>
        <v>1482.5173146725745</v>
      </c>
      <c r="W41" s="489">
        <f t="shared" si="16"/>
        <v>0</v>
      </c>
      <c r="X41" s="490">
        <f t="shared" si="16"/>
        <v>0</v>
      </c>
      <c r="Y41" s="52"/>
      <c r="Z41" s="490">
        <f>SUM(Z21:Z40)</f>
        <v>278025.29309606715</v>
      </c>
      <c r="AA41" s="491"/>
      <c r="AB41" s="491"/>
    </row>
    <row r="42" spans="1:28" ht="12.75">
      <c r="A42" s="25" t="s">
        <v>73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56"/>
      <c r="AA42" s="23"/>
      <c r="AB42" s="23"/>
    </row>
    <row r="43" spans="1:28" ht="12.75">
      <c r="A43" s="25" t="s">
        <v>311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ht="12.75">
      <c r="A44" s="25" t="s">
        <v>75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ht="12.75">
      <c r="A45" s="25" t="s">
        <v>312</v>
      </c>
    </row>
  </sheetData>
  <sheetProtection/>
  <mergeCells count="12">
    <mergeCell ref="S18:T18"/>
    <mergeCell ref="U18:V18"/>
    <mergeCell ref="W18:X18"/>
    <mergeCell ref="A41:D41"/>
    <mergeCell ref="A17:D19"/>
    <mergeCell ref="E18:F18"/>
    <mergeCell ref="G18:H18"/>
    <mergeCell ref="I18:J18"/>
    <mergeCell ref="K18:L18"/>
    <mergeCell ref="M18:N18"/>
    <mergeCell ref="O18:P18"/>
    <mergeCell ref="Q18:R18"/>
  </mergeCells>
  <printOptions/>
  <pageMargins left="0.5" right="0.5" top="0.5" bottom="0.5" header="0.3" footer="0.3"/>
  <pageSetup fitToHeight="1" fitToWidth="1" horizontalDpi="600" verticalDpi="600" orientation="landscape" paperSize="17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Keech</dc:creator>
  <cp:keywords/>
  <dc:description/>
  <cp:lastModifiedBy>Bhavaraju, Murty P.</cp:lastModifiedBy>
  <cp:lastPrinted>2018-07-19T15:43:14Z</cp:lastPrinted>
  <dcterms:created xsi:type="dcterms:W3CDTF">2007-03-21T19:37:11Z</dcterms:created>
  <dcterms:modified xsi:type="dcterms:W3CDTF">2018-07-20T12:32:11Z</dcterms:modified>
  <cp:category/>
  <cp:version/>
  <cp:contentType/>
  <cp:contentStatus/>
</cp:coreProperties>
</file>