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40" windowWidth="15330" windowHeight="8775" activeTab="0"/>
  </bookViews>
  <sheets>
    <sheet name="2011-2012 Parameters" sheetId="1" r:id="rId1"/>
  </sheets>
  <definedNames>
    <definedName name="_xlnm.Print_Area" localSheetId="0">'2011-2012 Parameters'!$A$1:$G$57</definedName>
  </definedNames>
  <calcPr fullCalcOnLoad="1"/>
</workbook>
</file>

<file path=xl/sharedStrings.xml><?xml version="1.0" encoding="utf-8"?>
<sst xmlns="http://schemas.openxmlformats.org/spreadsheetml/2006/main" count="239" uniqueCount="80">
  <si>
    <t>AEP</t>
  </si>
  <si>
    <t>APS</t>
  </si>
  <si>
    <t>DPL</t>
  </si>
  <si>
    <t>AE</t>
  </si>
  <si>
    <t>BGE</t>
  </si>
  <si>
    <t>JCPL</t>
  </si>
  <si>
    <t>PECO</t>
  </si>
  <si>
    <t>PEPCO</t>
  </si>
  <si>
    <t>PS</t>
  </si>
  <si>
    <t>CETO</t>
  </si>
  <si>
    <t>CETL</t>
  </si>
  <si>
    <t xml:space="preserve"> </t>
  </si>
  <si>
    <t>RTO</t>
  </si>
  <si>
    <t>SWMAAC</t>
  </si>
  <si>
    <t>Western MAAC</t>
  </si>
  <si>
    <t>EMAAC</t>
  </si>
  <si>
    <t>MAAC</t>
  </si>
  <si>
    <t>COMED</t>
  </si>
  <si>
    <t>DAYTON</t>
  </si>
  <si>
    <t>DOM</t>
  </si>
  <si>
    <t>METED</t>
  </si>
  <si>
    <t>PENLC</t>
  </si>
  <si>
    <t>DPLSOUTH</t>
  </si>
  <si>
    <t>PSNORTH</t>
  </si>
  <si>
    <t>Forecast ILR</t>
  </si>
  <si>
    <t>NA</t>
  </si>
  <si>
    <t>Energy &amp; Ancillary Services, $/MW-Year</t>
  </si>
  <si>
    <t>Cost of New Entry (CONE), $/MW-Year</t>
  </si>
  <si>
    <t>Point (a) UCAP Price, $/MW-Day</t>
  </si>
  <si>
    <t>Point (b) UCAP Price, $/MW-Day</t>
  </si>
  <si>
    <t>Point (c) UCAP Price, $/MW-Day</t>
  </si>
  <si>
    <t>Net CONE, $/MW-Day</t>
  </si>
  <si>
    <t>Base Zonal FRR Scaling Factor</t>
  </si>
  <si>
    <t>PL (incl. UGI)</t>
  </si>
  <si>
    <t>Western PJM</t>
  </si>
  <si>
    <t>*</t>
  </si>
  <si>
    <t xml:space="preserve">Installed Reserve Margin (IRM) </t>
  </si>
  <si>
    <t>Pool-Wide Average EFORd</t>
  </si>
  <si>
    <t>Forecast Pool Requirement (FPR)</t>
  </si>
  <si>
    <t>Demand Resoiurce (DR) Factor</t>
  </si>
  <si>
    <t>Preliminary Forecast Peak Load</t>
  </si>
  <si>
    <t>LDA/Zone</t>
  </si>
  <si>
    <t>FRR Preliminary Obligation</t>
  </si>
  <si>
    <t>FRR Demand Resources, UCAP Value</t>
  </si>
  <si>
    <t>LDA CETO/CETL Data; Zonal Peak Loads and Base Zonal FRR Scaling Factors</t>
  </si>
  <si>
    <t>RECO</t>
  </si>
  <si>
    <t>ILR Obligation</t>
  </si>
  <si>
    <t xml:space="preserve">LDA with CETO/CETL shown with an asterisk (*) has adequate internal resources to meet the reliability criterion. </t>
  </si>
  <si>
    <t>Pre-Clearing BRA Credit Rate, $/MW</t>
  </si>
  <si>
    <t>Post-Clearing BRA Credit Rate, $/MW</t>
  </si>
  <si>
    <t>2011-2012 RPM Base Residual Auction Planning Parameters</t>
  </si>
  <si>
    <t>2007 W/N Zonal Coincident Peak Loads</t>
  </si>
  <si>
    <t>2011/2012 Preliminary Zonal Peak Load Forecast</t>
  </si>
  <si>
    <t>&gt;2112</t>
  </si>
  <si>
    <t>&gt;5445</t>
  </si>
  <si>
    <t>&gt;891</t>
  </si>
  <si>
    <t>&gt;2178</t>
  </si>
  <si>
    <t>&gt;4840</t>
  </si>
  <si>
    <t>&gt;726</t>
  </si>
  <si>
    <t>&gt;2651</t>
  </si>
  <si>
    <t>&gt;682</t>
  </si>
  <si>
    <t>&gt;3850</t>
  </si>
  <si>
    <t>&gt;1199</t>
  </si>
  <si>
    <t>&gt;6655</t>
  </si>
  <si>
    <t>&gt;3168</t>
  </si>
  <si>
    <t>&gt;6897</t>
  </si>
  <si>
    <t>&gt;7579</t>
  </si>
  <si>
    <t xml:space="preserve">  </t>
  </si>
  <si>
    <t>Point (a) UCAP Level Adjusted for FRR, MW</t>
  </si>
  <si>
    <t>Point (b) UCAP Level Adjusted for FRR, MW</t>
  </si>
  <si>
    <t>Point (c) UCAP Level Adjusted for FRR, MW</t>
  </si>
  <si>
    <t>Reliability Requirement not Adjusted for FRR</t>
  </si>
  <si>
    <t>CETL study included the 502 Junction - Loudoun line (TrAIL Project) approved by the Board.</t>
  </si>
  <si>
    <t>&gt;3872</t>
  </si>
  <si>
    <t>Consistent with Duquesne Light Co.'s notification to FERC and to PJM, the Duquesne zone load was removed from the PJM RTO.</t>
  </si>
  <si>
    <t>FRR load and RPM Non-Zone Load are reduced in Dominion zone.</t>
  </si>
  <si>
    <t>The CONE value is changed to the EMAAC value used for the transition years.</t>
  </si>
  <si>
    <t>Changes in input data are shown in red.</t>
  </si>
  <si>
    <t>Updated 12/2/2009</t>
  </si>
  <si>
    <t>Update shows newly calculated Post-Clearing BRA Credit Rates as a result of FERC Order ER10-15-000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</si>
</sst>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2" fontId="7" fillId="0" borderId="0" xfId="59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2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5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172" fontId="7" fillId="0" borderId="0" xfId="0" applyNumberFormat="1" applyFont="1" applyBorder="1" applyAlignment="1">
      <alignment horizontal="center" vertical="center" wrapText="1"/>
    </xf>
    <xf numFmtId="172" fontId="7" fillId="0" borderId="0" xfId="59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0" xfId="59" applyNumberFormat="1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175" fontId="7" fillId="0" borderId="0" xfId="59" applyNumberFormat="1" applyFont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center" wrapText="1"/>
    </xf>
    <xf numFmtId="174" fontId="7" fillId="0" borderId="0" xfId="59" applyNumberFormat="1" applyFont="1" applyBorder="1" applyAlignment="1">
      <alignment horizontal="center"/>
    </xf>
    <xf numFmtId="174" fontId="7" fillId="0" borderId="0" xfId="59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75" fontId="9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72" fontId="7" fillId="0" borderId="15" xfId="59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left" vertical="center" wrapText="1"/>
    </xf>
    <xf numFmtId="172" fontId="7" fillId="0" borderId="15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center" vertical="center" wrapText="1"/>
    </xf>
    <xf numFmtId="173" fontId="7" fillId="0" borderId="15" xfId="59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172" fontId="7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172" fontId="7" fillId="0" borderId="15" xfId="59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172" fontId="7" fillId="0" borderId="15" xfId="59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72" fontId="7" fillId="0" borderId="19" xfId="59" applyNumberFormat="1" applyFont="1" applyBorder="1" applyAlignment="1">
      <alignment horizontal="center"/>
    </xf>
    <xf numFmtId="172" fontId="7" fillId="0" borderId="20" xfId="59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174" fontId="6" fillId="33" borderId="0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74" fontId="7" fillId="33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75" zoomScaleNormal="75" zoomScaleSheetLayoutView="75" zoomScalePageLayoutView="0" workbookViewId="0" topLeftCell="A1">
      <selection activeCell="I21" sqref="I21"/>
    </sheetView>
  </sheetViews>
  <sheetFormatPr defaultColWidth="30.7109375" defaultRowHeight="12.75"/>
  <cols>
    <col min="1" max="1" width="47.7109375" style="0" customWidth="1"/>
    <col min="2" max="2" width="15.7109375" style="1" customWidth="1"/>
    <col min="3" max="3" width="16.28125" style="1" customWidth="1"/>
    <col min="4" max="7" width="15.7109375" style="1" customWidth="1"/>
    <col min="8" max="8" width="15.140625" style="0" customWidth="1"/>
    <col min="9" max="13" width="15.7109375" style="0" customWidth="1"/>
  </cols>
  <sheetData>
    <row r="1" spans="1:8" ht="18.75" thickTop="1">
      <c r="A1" s="45" t="s">
        <v>50</v>
      </c>
      <c r="B1" s="46"/>
      <c r="C1" s="46"/>
      <c r="D1" s="46"/>
      <c r="E1" s="47" t="s">
        <v>78</v>
      </c>
      <c r="F1" s="47"/>
      <c r="G1" s="48"/>
      <c r="H1" s="3"/>
    </row>
    <row r="2" spans="1:8" ht="18">
      <c r="A2" s="84" t="s">
        <v>79</v>
      </c>
      <c r="B2" s="6"/>
      <c r="C2" s="6"/>
      <c r="D2" s="6"/>
      <c r="E2" s="29"/>
      <c r="F2" s="29"/>
      <c r="G2" s="50"/>
      <c r="H2" s="3"/>
    </row>
    <row r="3" spans="1:8" ht="18">
      <c r="A3" s="84" t="s">
        <v>77</v>
      </c>
      <c r="B3" s="6"/>
      <c r="C3" s="6"/>
      <c r="D3" s="6"/>
      <c r="E3" s="35"/>
      <c r="F3" s="29"/>
      <c r="G3" s="50"/>
      <c r="H3" s="3"/>
    </row>
    <row r="4" spans="1:8" ht="18">
      <c r="A4" s="81" t="s">
        <v>76</v>
      </c>
      <c r="B4" s="6"/>
      <c r="C4" s="6"/>
      <c r="D4" s="6"/>
      <c r="E4" s="85" t="s">
        <v>11</v>
      </c>
      <c r="F4" s="29"/>
      <c r="G4" s="50"/>
      <c r="H4" s="3"/>
    </row>
    <row r="5" spans="1:8" ht="18">
      <c r="A5" s="81" t="s">
        <v>75</v>
      </c>
      <c r="B5" s="6"/>
      <c r="C5" s="6"/>
      <c r="D5" s="6"/>
      <c r="E5" s="35"/>
      <c r="F5" s="29"/>
      <c r="G5" s="50"/>
      <c r="H5" s="3"/>
    </row>
    <row r="6" spans="1:8" ht="18">
      <c r="A6" s="81" t="s">
        <v>72</v>
      </c>
      <c r="B6" s="6"/>
      <c r="C6" s="6"/>
      <c r="D6" s="6"/>
      <c r="E6" s="35"/>
      <c r="F6" s="29"/>
      <c r="G6" s="50"/>
      <c r="H6" s="3"/>
    </row>
    <row r="7" spans="1:8" ht="18">
      <c r="A7" s="82" t="s">
        <v>74</v>
      </c>
      <c r="B7" s="6"/>
      <c r="C7" s="6"/>
      <c r="D7" s="6"/>
      <c r="E7" s="35"/>
      <c r="F7" s="29"/>
      <c r="G7" s="50"/>
      <c r="H7" s="3"/>
    </row>
    <row r="8" spans="1:8" ht="18">
      <c r="A8" s="49"/>
      <c r="B8" s="27" t="s">
        <v>12</v>
      </c>
      <c r="C8" s="27" t="s">
        <v>11</v>
      </c>
      <c r="D8" s="27" t="s">
        <v>11</v>
      </c>
      <c r="E8" s="27" t="s">
        <v>11</v>
      </c>
      <c r="F8" s="39" t="s">
        <v>11</v>
      </c>
      <c r="G8" s="51"/>
      <c r="H8" s="3"/>
    </row>
    <row r="9" spans="1:8" ht="18">
      <c r="A9" s="52" t="s">
        <v>36</v>
      </c>
      <c r="B9" s="24">
        <v>0.155</v>
      </c>
      <c r="C9" s="24" t="s">
        <v>11</v>
      </c>
      <c r="D9" s="24" t="s">
        <v>11</v>
      </c>
      <c r="E9" s="24" t="s">
        <v>11</v>
      </c>
      <c r="F9" s="30"/>
      <c r="G9" s="53"/>
      <c r="H9" s="14"/>
    </row>
    <row r="10" spans="1:8" ht="18">
      <c r="A10" s="52" t="s">
        <v>37</v>
      </c>
      <c r="B10" s="24">
        <v>0.0621</v>
      </c>
      <c r="C10" s="24" t="s">
        <v>11</v>
      </c>
      <c r="D10" s="24" t="s">
        <v>11</v>
      </c>
      <c r="E10" s="24" t="s">
        <v>11</v>
      </c>
      <c r="F10" s="30"/>
      <c r="G10" s="53"/>
      <c r="H10" s="14"/>
    </row>
    <row r="11" spans="1:8" ht="18">
      <c r="A11" s="52" t="s">
        <v>38</v>
      </c>
      <c r="B11" s="25">
        <v>1.0833</v>
      </c>
      <c r="C11" s="25" t="s">
        <v>11</v>
      </c>
      <c r="D11" s="25" t="s">
        <v>67</v>
      </c>
      <c r="E11" s="25" t="s">
        <v>11</v>
      </c>
      <c r="F11" s="13"/>
      <c r="G11" s="54"/>
      <c r="H11" s="14"/>
    </row>
    <row r="12" spans="1:8" ht="18">
      <c r="A12" s="52" t="s">
        <v>39</v>
      </c>
      <c r="B12" s="26">
        <v>0.955</v>
      </c>
      <c r="C12" s="26" t="s">
        <v>11</v>
      </c>
      <c r="D12" s="26" t="s">
        <v>11</v>
      </c>
      <c r="E12" s="26" t="s">
        <v>11</v>
      </c>
      <c r="F12" s="13"/>
      <c r="G12" s="54"/>
      <c r="H12" s="14"/>
    </row>
    <row r="13" spans="1:8" ht="18">
      <c r="A13" s="52" t="s">
        <v>40</v>
      </c>
      <c r="B13" s="41">
        <f>D34</f>
        <v>142390</v>
      </c>
      <c r="C13" s="41" t="s">
        <v>11</v>
      </c>
      <c r="D13" s="19" t="s">
        <v>11</v>
      </c>
      <c r="E13" s="19" t="s">
        <v>11</v>
      </c>
      <c r="F13" s="13"/>
      <c r="G13" s="54"/>
      <c r="H13" s="14"/>
    </row>
    <row r="14" spans="1:8" ht="18">
      <c r="A14" s="52" t="s">
        <v>48</v>
      </c>
      <c r="B14" s="44">
        <v>43095</v>
      </c>
      <c r="C14" s="44" t="s">
        <v>11</v>
      </c>
      <c r="D14" s="44" t="s">
        <v>11</v>
      </c>
      <c r="E14" s="31" t="s">
        <v>11</v>
      </c>
      <c r="F14" s="13"/>
      <c r="G14" s="54"/>
      <c r="H14" s="14"/>
    </row>
    <row r="15" spans="1:8" ht="18">
      <c r="A15" s="52" t="s">
        <v>49</v>
      </c>
      <c r="B15" s="87">
        <v>9662</v>
      </c>
      <c r="C15" s="19" t="s">
        <v>11</v>
      </c>
      <c r="D15" s="19" t="s">
        <v>11</v>
      </c>
      <c r="E15" s="19" t="s">
        <v>11</v>
      </c>
      <c r="F15" s="13"/>
      <c r="G15" s="54"/>
      <c r="H15" s="14"/>
    </row>
    <row r="16" spans="1:8" ht="19.5" customHeight="1">
      <c r="A16" s="55" t="s">
        <v>24</v>
      </c>
      <c r="B16" s="43">
        <f>G34</f>
        <v>1540.6000000000001</v>
      </c>
      <c r="C16" s="43" t="s">
        <v>11</v>
      </c>
      <c r="D16" s="17" t="s">
        <v>11</v>
      </c>
      <c r="E16" s="17" t="s">
        <v>11</v>
      </c>
      <c r="F16" s="18" t="s">
        <v>11</v>
      </c>
      <c r="G16" s="56" t="s">
        <v>11</v>
      </c>
      <c r="H16" s="23"/>
    </row>
    <row r="17" spans="1:8" ht="19.5" customHeight="1">
      <c r="A17" s="55" t="s">
        <v>46</v>
      </c>
      <c r="B17" s="22">
        <f>ROUND(B16*$B$11*$B$12,1)</f>
        <v>1593.8</v>
      </c>
      <c r="C17" s="22" t="s">
        <v>11</v>
      </c>
      <c r="D17" s="17" t="s">
        <v>11</v>
      </c>
      <c r="E17" s="17" t="s">
        <v>11</v>
      </c>
      <c r="F17" s="18" t="s">
        <v>11</v>
      </c>
      <c r="G17" s="56" t="s">
        <v>11</v>
      </c>
      <c r="H17" s="23"/>
    </row>
    <row r="18" spans="1:8" ht="24.75" customHeight="1">
      <c r="A18" s="57" t="s">
        <v>71</v>
      </c>
      <c r="B18" s="22">
        <f>ROUND(B13*B11,1)</f>
        <v>154251.1</v>
      </c>
      <c r="C18" s="22" t="s">
        <v>11</v>
      </c>
      <c r="D18" s="17" t="s">
        <v>11</v>
      </c>
      <c r="E18" s="17" t="s">
        <v>11</v>
      </c>
      <c r="F18" s="19" t="s">
        <v>11</v>
      </c>
      <c r="G18" s="58" t="s">
        <v>11</v>
      </c>
      <c r="H18" s="23"/>
    </row>
    <row r="19" spans="1:8" ht="19.5" customHeight="1">
      <c r="A19" s="59" t="s">
        <v>42</v>
      </c>
      <c r="B19" s="86">
        <v>23592.4</v>
      </c>
      <c r="C19" s="83" t="s">
        <v>11</v>
      </c>
      <c r="D19" s="33"/>
      <c r="E19" s="33"/>
      <c r="F19" s="33"/>
      <c r="G19" s="60"/>
      <c r="H19" s="23" t="s">
        <v>11</v>
      </c>
    </row>
    <row r="20" spans="1:8" ht="19.5" customHeight="1" thickBot="1">
      <c r="A20" s="61" t="s">
        <v>43</v>
      </c>
      <c r="B20" s="42">
        <v>0</v>
      </c>
      <c r="C20" s="42" t="s">
        <v>11</v>
      </c>
      <c r="D20" s="34" t="s">
        <v>11</v>
      </c>
      <c r="E20" s="34" t="s">
        <v>11</v>
      </c>
      <c r="F20" s="34" t="s">
        <v>11</v>
      </c>
      <c r="G20" s="62" t="s">
        <v>11</v>
      </c>
      <c r="H20" s="23" t="s">
        <v>11</v>
      </c>
    </row>
    <row r="21" spans="1:8" ht="19.5" customHeight="1">
      <c r="A21" s="55" t="s">
        <v>27</v>
      </c>
      <c r="B21" s="20">
        <v>72207</v>
      </c>
      <c r="C21" s="20" t="s">
        <v>11</v>
      </c>
      <c r="D21" s="20" t="s">
        <v>11</v>
      </c>
      <c r="E21" s="20" t="s">
        <v>11</v>
      </c>
      <c r="F21" s="20" t="s">
        <v>11</v>
      </c>
      <c r="G21" s="63" t="s">
        <v>11</v>
      </c>
      <c r="H21" s="14"/>
    </row>
    <row r="22" spans="1:8" ht="19.5" customHeight="1">
      <c r="A22" s="55" t="s">
        <v>26</v>
      </c>
      <c r="B22" s="20">
        <v>13368</v>
      </c>
      <c r="C22" s="20" t="s">
        <v>11</v>
      </c>
      <c r="D22" s="20" t="s">
        <v>11</v>
      </c>
      <c r="E22" s="20" t="s">
        <v>11</v>
      </c>
      <c r="F22" s="21" t="s">
        <v>67</v>
      </c>
      <c r="G22" s="64" t="s">
        <v>11</v>
      </c>
      <c r="H22" s="14" t="s">
        <v>11</v>
      </c>
    </row>
    <row r="23" spans="1:8" ht="19.5" customHeight="1">
      <c r="A23" s="55" t="s">
        <v>31</v>
      </c>
      <c r="B23" s="20">
        <f>ROUND((B21-B22)/366,2)</f>
        <v>160.76</v>
      </c>
      <c r="C23" s="20" t="s">
        <v>11</v>
      </c>
      <c r="D23" s="20" t="s">
        <v>11</v>
      </c>
      <c r="E23" s="20" t="s">
        <v>11</v>
      </c>
      <c r="F23" s="20" t="s">
        <v>11</v>
      </c>
      <c r="G23" s="63" t="s">
        <v>11</v>
      </c>
      <c r="H23" s="14"/>
    </row>
    <row r="24" spans="1:8" ht="19.5" customHeight="1">
      <c r="A24" s="55" t="s">
        <v>28</v>
      </c>
      <c r="B24" s="20">
        <f>ROUND(B$23*1.5/(1-$B$10),2)</f>
        <v>257.11</v>
      </c>
      <c r="C24" s="20" t="s">
        <v>11</v>
      </c>
      <c r="D24" s="20" t="s">
        <v>11</v>
      </c>
      <c r="E24" s="20" t="s">
        <v>11</v>
      </c>
      <c r="F24" s="20" t="s">
        <v>11</v>
      </c>
      <c r="G24" s="63" t="s">
        <v>11</v>
      </c>
      <c r="H24" s="14"/>
    </row>
    <row r="25" spans="1:8" ht="19.5" customHeight="1">
      <c r="A25" s="55" t="s">
        <v>29</v>
      </c>
      <c r="B25" s="20">
        <f>ROUND(B$23/(1-$B$10),2)</f>
        <v>171.4</v>
      </c>
      <c r="C25" s="20" t="s">
        <v>11</v>
      </c>
      <c r="D25" s="20" t="s">
        <v>11</v>
      </c>
      <c r="E25" s="20" t="s">
        <v>11</v>
      </c>
      <c r="F25" s="20" t="s">
        <v>11</v>
      </c>
      <c r="G25" s="63" t="s">
        <v>11</v>
      </c>
      <c r="H25" s="14"/>
    </row>
    <row r="26" spans="1:8" ht="19.5" customHeight="1">
      <c r="A26" s="55" t="s">
        <v>30</v>
      </c>
      <c r="B26" s="20">
        <f>ROUND(B$23*0.2/(1-$B$10),2)</f>
        <v>34.28</v>
      </c>
      <c r="C26" s="20" t="s">
        <v>11</v>
      </c>
      <c r="D26" s="20" t="s">
        <v>11</v>
      </c>
      <c r="E26" s="20" t="s">
        <v>11</v>
      </c>
      <c r="F26" s="20" t="s">
        <v>11</v>
      </c>
      <c r="G26" s="63" t="s">
        <v>11</v>
      </c>
      <c r="H26" s="14"/>
    </row>
    <row r="27" spans="1:8" ht="19.5" customHeight="1">
      <c r="A27" s="55" t="s">
        <v>68</v>
      </c>
      <c r="B27" s="22">
        <f>ROUND((B$18-B$19)*(1+$B$9-3%)/(1+$B$9)-B$17+B$20,1)</f>
        <v>125671.2</v>
      </c>
      <c r="C27" s="22" t="s">
        <v>67</v>
      </c>
      <c r="D27" s="22" t="s">
        <v>11</v>
      </c>
      <c r="E27" s="22" t="s">
        <v>11</v>
      </c>
      <c r="F27" s="22" t="s">
        <v>11</v>
      </c>
      <c r="G27" s="65" t="s">
        <v>11</v>
      </c>
      <c r="H27" s="14"/>
    </row>
    <row r="28" spans="1:8" ht="19.5" customHeight="1">
      <c r="A28" s="55" t="s">
        <v>69</v>
      </c>
      <c r="B28" s="22">
        <f>ROUND((B$18-B$19)*(1+$B$9+1%)/(1+$B$9)-B$17+B$20,1)</f>
        <v>130196.1</v>
      </c>
      <c r="C28" s="22" t="s">
        <v>11</v>
      </c>
      <c r="D28" s="22" t="s">
        <v>11</v>
      </c>
      <c r="E28" s="22" t="s">
        <v>11</v>
      </c>
      <c r="F28" s="22" t="s">
        <v>11</v>
      </c>
      <c r="G28" s="65" t="s">
        <v>11</v>
      </c>
      <c r="H28" s="14"/>
    </row>
    <row r="29" spans="1:8" ht="19.5" customHeight="1">
      <c r="A29" s="55" t="s">
        <v>70</v>
      </c>
      <c r="B29" s="22">
        <f>ROUND((B$18-B$19)*(1+$B$9+5%)/(1+$B$9)-B$17+B20,1)</f>
        <v>134721.1</v>
      </c>
      <c r="C29" s="22" t="s">
        <v>11</v>
      </c>
      <c r="D29" s="22" t="s">
        <v>11</v>
      </c>
      <c r="E29" s="22" t="s">
        <v>11</v>
      </c>
      <c r="F29" s="22" t="s">
        <v>11</v>
      </c>
      <c r="G29" s="65" t="s">
        <v>11</v>
      </c>
      <c r="H29" s="14"/>
    </row>
    <row r="30" spans="1:7" ht="19.5" customHeight="1">
      <c r="A30" s="66"/>
      <c r="B30" s="3"/>
      <c r="C30" s="3"/>
      <c r="D30" s="3"/>
      <c r="E30" s="3"/>
      <c r="F30" s="3"/>
      <c r="G30" s="67"/>
    </row>
    <row r="31" spans="1:8" ht="18">
      <c r="A31" s="68" t="s">
        <v>44</v>
      </c>
      <c r="B31" s="15"/>
      <c r="C31" s="15"/>
      <c r="D31" s="16"/>
      <c r="E31" s="13"/>
      <c r="F31" s="13"/>
      <c r="G31" s="54"/>
      <c r="H31" s="14"/>
    </row>
    <row r="32" spans="1:8" ht="18">
      <c r="A32" s="68" t="s">
        <v>47</v>
      </c>
      <c r="B32" s="15"/>
      <c r="C32" s="15"/>
      <c r="D32" s="16"/>
      <c r="E32" s="13"/>
      <c r="F32" s="13"/>
      <c r="G32" s="54"/>
      <c r="H32" s="14"/>
    </row>
    <row r="33" spans="1:8" s="4" customFormat="1" ht="64.5" customHeight="1">
      <c r="A33" s="69" t="s">
        <v>41</v>
      </c>
      <c r="B33" s="27" t="s">
        <v>9</v>
      </c>
      <c r="C33" s="27" t="s">
        <v>10</v>
      </c>
      <c r="D33" s="27" t="s">
        <v>52</v>
      </c>
      <c r="E33" s="27" t="s">
        <v>51</v>
      </c>
      <c r="F33" s="27" t="s">
        <v>32</v>
      </c>
      <c r="G33" s="70" t="s">
        <v>24</v>
      </c>
      <c r="H33" s="28" t="s">
        <v>11</v>
      </c>
    </row>
    <row r="34" spans="1:8" s="4" customFormat="1" ht="19.5" customHeight="1">
      <c r="A34" s="71" t="s">
        <v>12</v>
      </c>
      <c r="B34" s="9" t="s">
        <v>25</v>
      </c>
      <c r="C34" s="9" t="s">
        <v>25</v>
      </c>
      <c r="D34" s="36">
        <f>D35+D36+D37+D38+D39+D40+D41+D42+D44+D45+D46+D47+D48+D49+D50+D52</f>
        <v>142390</v>
      </c>
      <c r="E34" s="36">
        <f>E35+E36+E37+E38+E39+E40+E41+E42+E44+E45+E46+E47+E48+E49+E50+E52</f>
        <v>133527</v>
      </c>
      <c r="F34" s="10" t="s">
        <v>25</v>
      </c>
      <c r="G34" s="72">
        <f>G35+G36+G37+G38+G39+G40+G41+G42+G44+G45+G46+G47+G48+G49+G50+G52</f>
        <v>1540.6000000000001</v>
      </c>
      <c r="H34" s="11" t="s">
        <v>11</v>
      </c>
    </row>
    <row r="35" spans="1:8" s="2" customFormat="1" ht="19.5" customHeight="1">
      <c r="A35" s="73" t="s">
        <v>3</v>
      </c>
      <c r="B35" s="5">
        <v>1920</v>
      </c>
      <c r="C35" s="5" t="s">
        <v>53</v>
      </c>
      <c r="D35" s="37">
        <v>3059</v>
      </c>
      <c r="E35" s="37">
        <v>2660</v>
      </c>
      <c r="F35" s="32">
        <f aca="true" t="shared" si="0" ref="F35:F42">ROUND(D35/E35,5)</f>
        <v>1.15</v>
      </c>
      <c r="G35" s="74">
        <v>1.4</v>
      </c>
      <c r="H35" s="12" t="s">
        <v>11</v>
      </c>
    </row>
    <row r="36" spans="1:8" s="2" customFormat="1" ht="19.5" customHeight="1">
      <c r="A36" s="75" t="s">
        <v>0</v>
      </c>
      <c r="B36" s="7" t="s">
        <v>35</v>
      </c>
      <c r="C36" s="7" t="s">
        <v>35</v>
      </c>
      <c r="D36" s="38">
        <f>23879+55+187</f>
        <v>24121</v>
      </c>
      <c r="E36" s="38">
        <f>22850+53+179</f>
        <v>23082</v>
      </c>
      <c r="F36" s="32">
        <f t="shared" si="0"/>
        <v>1.04501</v>
      </c>
      <c r="G36" s="76">
        <f>175.1+3.1</f>
        <v>178.2</v>
      </c>
      <c r="H36" s="12" t="s">
        <v>11</v>
      </c>
    </row>
    <row r="37" spans="1:8" s="2" customFormat="1" ht="19.5" customHeight="1">
      <c r="A37" s="75" t="s">
        <v>1</v>
      </c>
      <c r="B37" s="7" t="s">
        <v>35</v>
      </c>
      <c r="C37" s="7" t="s">
        <v>35</v>
      </c>
      <c r="D37" s="38">
        <v>8615</v>
      </c>
      <c r="E37" s="38">
        <v>8290</v>
      </c>
      <c r="F37" s="32">
        <f t="shared" si="0"/>
        <v>1.0392</v>
      </c>
      <c r="G37" s="76">
        <v>32.1</v>
      </c>
      <c r="H37" s="12" t="s">
        <v>11</v>
      </c>
    </row>
    <row r="38" spans="1:8" s="2" customFormat="1" ht="19.5" customHeight="1">
      <c r="A38" s="73" t="s">
        <v>4</v>
      </c>
      <c r="B38" s="5">
        <v>4950</v>
      </c>
      <c r="C38" s="5" t="s">
        <v>54</v>
      </c>
      <c r="D38" s="37">
        <v>7347</v>
      </c>
      <c r="E38" s="37">
        <v>6990</v>
      </c>
      <c r="F38" s="32">
        <f t="shared" si="0"/>
        <v>1.05107</v>
      </c>
      <c r="G38" s="74">
        <v>233.2</v>
      </c>
      <c r="H38" s="12" t="s">
        <v>11</v>
      </c>
    </row>
    <row r="39" spans="1:8" s="2" customFormat="1" ht="19.5" customHeight="1">
      <c r="A39" s="73" t="s">
        <v>17</v>
      </c>
      <c r="B39" s="5">
        <v>3520</v>
      </c>
      <c r="C39" s="5" t="s">
        <v>73</v>
      </c>
      <c r="D39" s="37">
        <v>24140</v>
      </c>
      <c r="E39" s="37">
        <v>22220</v>
      </c>
      <c r="F39" s="32">
        <f t="shared" si="0"/>
        <v>1.08641</v>
      </c>
      <c r="G39" s="74">
        <v>386.4</v>
      </c>
      <c r="H39" s="12" t="s">
        <v>11</v>
      </c>
    </row>
    <row r="40" spans="1:8" s="2" customFormat="1" ht="19.5" customHeight="1">
      <c r="A40" s="73" t="s">
        <v>18</v>
      </c>
      <c r="B40" s="5">
        <v>810</v>
      </c>
      <c r="C40" s="5" t="s">
        <v>55</v>
      </c>
      <c r="D40" s="37">
        <v>3545</v>
      </c>
      <c r="E40" s="37">
        <v>3390</v>
      </c>
      <c r="F40" s="32">
        <f t="shared" si="0"/>
        <v>1.04572</v>
      </c>
      <c r="G40" s="74">
        <v>1.9</v>
      </c>
      <c r="H40" s="12" t="s">
        <v>11</v>
      </c>
    </row>
    <row r="41" spans="1:8" s="2" customFormat="1" ht="19.5" customHeight="1">
      <c r="A41" s="73" t="s">
        <v>19</v>
      </c>
      <c r="B41" s="5">
        <v>1980</v>
      </c>
      <c r="C41" s="5" t="s">
        <v>56</v>
      </c>
      <c r="D41" s="37">
        <f>19783</f>
        <v>19783</v>
      </c>
      <c r="E41" s="37">
        <f>18360</f>
        <v>18360</v>
      </c>
      <c r="F41" s="32">
        <f t="shared" si="0"/>
        <v>1.07751</v>
      </c>
      <c r="G41" s="74">
        <v>3.6</v>
      </c>
      <c r="H41" s="40" t="s">
        <v>11</v>
      </c>
    </row>
    <row r="42" spans="1:8" s="2" customFormat="1" ht="19.5" customHeight="1">
      <c r="A42" s="73" t="s">
        <v>2</v>
      </c>
      <c r="B42" s="5">
        <v>1610</v>
      </c>
      <c r="C42" s="5">
        <v>1737</v>
      </c>
      <c r="D42" s="37">
        <v>4284</v>
      </c>
      <c r="E42" s="37">
        <v>3980</v>
      </c>
      <c r="F42" s="32">
        <f t="shared" si="0"/>
        <v>1.07638</v>
      </c>
      <c r="G42" s="74">
        <v>54.7</v>
      </c>
      <c r="H42" s="12" t="s">
        <v>11</v>
      </c>
    </row>
    <row r="43" spans="1:8" s="2" customFormat="1" ht="19.5" customHeight="1">
      <c r="A43" s="73" t="s">
        <v>22</v>
      </c>
      <c r="B43" s="5">
        <v>1710</v>
      </c>
      <c r="C43" s="5">
        <v>1857</v>
      </c>
      <c r="D43" s="37" t="s">
        <v>25</v>
      </c>
      <c r="E43" s="37" t="s">
        <v>25</v>
      </c>
      <c r="F43" s="32" t="s">
        <v>25</v>
      </c>
      <c r="G43" s="74" t="s">
        <v>25</v>
      </c>
      <c r="H43" s="12" t="s">
        <v>11</v>
      </c>
    </row>
    <row r="44" spans="1:8" s="2" customFormat="1" ht="19.5" customHeight="1">
      <c r="A44" s="73" t="s">
        <v>5</v>
      </c>
      <c r="B44" s="5">
        <v>4400</v>
      </c>
      <c r="C44" s="5" t="s">
        <v>57</v>
      </c>
      <c r="D44" s="37">
        <v>6671</v>
      </c>
      <c r="E44" s="37">
        <v>6140</v>
      </c>
      <c r="F44" s="32">
        <f aca="true" t="shared" si="1" ref="F44:F50">ROUND(D44/E44,5)</f>
        <v>1.08648</v>
      </c>
      <c r="G44" s="74">
        <v>60.6</v>
      </c>
      <c r="H44" s="12" t="s">
        <v>11</v>
      </c>
    </row>
    <row r="45" spans="1:8" s="2" customFormat="1" ht="19.5" customHeight="1">
      <c r="A45" s="73" t="s">
        <v>20</v>
      </c>
      <c r="B45" s="5">
        <v>660</v>
      </c>
      <c r="C45" s="5" t="s">
        <v>58</v>
      </c>
      <c r="D45" s="37">
        <v>2974</v>
      </c>
      <c r="E45" s="37">
        <v>2770</v>
      </c>
      <c r="F45" s="32">
        <f t="shared" si="1"/>
        <v>1.07365</v>
      </c>
      <c r="G45" s="74">
        <v>27.3</v>
      </c>
      <c r="H45" s="12" t="s">
        <v>11</v>
      </c>
    </row>
    <row r="46" spans="1:8" s="2" customFormat="1" ht="19.5" customHeight="1">
      <c r="A46" s="73" t="s">
        <v>6</v>
      </c>
      <c r="B46" s="5">
        <v>2410</v>
      </c>
      <c r="C46" s="5" t="s">
        <v>59</v>
      </c>
      <c r="D46" s="37">
        <v>8850</v>
      </c>
      <c r="E46" s="37">
        <v>8320</v>
      </c>
      <c r="F46" s="32">
        <f t="shared" si="1"/>
        <v>1.0637</v>
      </c>
      <c r="G46" s="74">
        <v>108.3</v>
      </c>
      <c r="H46" s="12" t="s">
        <v>11</v>
      </c>
    </row>
    <row r="47" spans="1:8" s="2" customFormat="1" ht="19.5" customHeight="1">
      <c r="A47" s="73" t="s">
        <v>21</v>
      </c>
      <c r="B47" s="5">
        <v>620</v>
      </c>
      <c r="C47" s="5" t="s">
        <v>60</v>
      </c>
      <c r="D47" s="37">
        <v>2830</v>
      </c>
      <c r="E47" s="37">
        <v>2690</v>
      </c>
      <c r="F47" s="32">
        <f t="shared" si="1"/>
        <v>1.05204</v>
      </c>
      <c r="G47" s="74">
        <v>4</v>
      </c>
      <c r="H47" s="12" t="s">
        <v>11</v>
      </c>
    </row>
    <row r="48" spans="1:8" s="2" customFormat="1" ht="19.5" customHeight="1">
      <c r="A48" s="73" t="s">
        <v>7</v>
      </c>
      <c r="B48" s="5">
        <v>3500</v>
      </c>
      <c r="C48" s="5" t="s">
        <v>61</v>
      </c>
      <c r="D48" s="37">
        <v>7076</v>
      </c>
      <c r="E48" s="37">
        <v>6690</v>
      </c>
      <c r="F48" s="32">
        <f t="shared" si="1"/>
        <v>1.0577</v>
      </c>
      <c r="G48" s="74">
        <v>58.5</v>
      </c>
      <c r="H48" s="12" t="s">
        <v>11</v>
      </c>
    </row>
    <row r="49" spans="1:8" s="2" customFormat="1" ht="19.5" customHeight="1">
      <c r="A49" s="73" t="s">
        <v>33</v>
      </c>
      <c r="B49" s="5">
        <v>1090</v>
      </c>
      <c r="C49" s="5" t="s">
        <v>62</v>
      </c>
      <c r="D49" s="37">
        <f>7356+196</f>
        <v>7552</v>
      </c>
      <c r="E49" s="37">
        <v>7105</v>
      </c>
      <c r="F49" s="32">
        <f t="shared" si="1"/>
        <v>1.06291</v>
      </c>
      <c r="G49" s="74">
        <v>258</v>
      </c>
      <c r="H49" s="12" t="s">
        <v>11</v>
      </c>
    </row>
    <row r="50" spans="1:8" s="2" customFormat="1" ht="19.5" customHeight="1">
      <c r="A50" s="73" t="s">
        <v>8</v>
      </c>
      <c r="B50" s="5">
        <v>6050</v>
      </c>
      <c r="C50" s="5" t="s">
        <v>63</v>
      </c>
      <c r="D50" s="37">
        <v>11108</v>
      </c>
      <c r="E50" s="37">
        <v>10430</v>
      </c>
      <c r="F50" s="32">
        <f t="shared" si="1"/>
        <v>1.065</v>
      </c>
      <c r="G50" s="74">
        <v>132.4</v>
      </c>
      <c r="H50" s="12" t="s">
        <v>11</v>
      </c>
    </row>
    <row r="51" spans="1:8" s="2" customFormat="1" ht="19.5" customHeight="1">
      <c r="A51" s="73" t="s">
        <v>23</v>
      </c>
      <c r="B51" s="5">
        <v>2880</v>
      </c>
      <c r="C51" s="5" t="s">
        <v>64</v>
      </c>
      <c r="D51" s="8" t="s">
        <v>25</v>
      </c>
      <c r="E51" s="8" t="s">
        <v>25</v>
      </c>
      <c r="F51" s="32" t="s">
        <v>25</v>
      </c>
      <c r="G51" s="74" t="s">
        <v>25</v>
      </c>
      <c r="H51" s="12" t="s">
        <v>11</v>
      </c>
    </row>
    <row r="52" spans="1:8" s="2" customFormat="1" ht="19.5" customHeight="1">
      <c r="A52" s="73" t="s">
        <v>45</v>
      </c>
      <c r="B52" s="5" t="s">
        <v>25</v>
      </c>
      <c r="C52" s="5" t="s">
        <v>25</v>
      </c>
      <c r="D52" s="8">
        <v>435</v>
      </c>
      <c r="E52" s="8">
        <v>410</v>
      </c>
      <c r="F52" s="32">
        <f>ROUND(D52/E52,5)</f>
        <v>1.06098</v>
      </c>
      <c r="G52" s="74">
        <v>0</v>
      </c>
      <c r="H52" s="12" t="s">
        <v>11</v>
      </c>
    </row>
    <row r="53" spans="1:8" s="2" customFormat="1" ht="19.5" customHeight="1">
      <c r="A53" s="73" t="s">
        <v>15</v>
      </c>
      <c r="B53" s="5">
        <v>8070</v>
      </c>
      <c r="C53" s="5">
        <v>8804</v>
      </c>
      <c r="D53" s="8" t="s">
        <v>25</v>
      </c>
      <c r="E53" s="8" t="s">
        <v>25</v>
      </c>
      <c r="F53" s="8" t="s">
        <v>25</v>
      </c>
      <c r="G53" s="74" t="s">
        <v>25</v>
      </c>
      <c r="H53" s="12" t="s">
        <v>11</v>
      </c>
    </row>
    <row r="54" spans="1:8" s="2" customFormat="1" ht="19.5" customHeight="1">
      <c r="A54" s="73" t="s">
        <v>13</v>
      </c>
      <c r="B54" s="5">
        <v>6270</v>
      </c>
      <c r="C54" s="5" t="s">
        <v>65</v>
      </c>
      <c r="D54" s="8" t="s">
        <v>25</v>
      </c>
      <c r="E54" s="8" t="s">
        <v>25</v>
      </c>
      <c r="F54" s="8" t="s">
        <v>25</v>
      </c>
      <c r="G54" s="74" t="s">
        <v>25</v>
      </c>
      <c r="H54" s="5" t="s">
        <v>11</v>
      </c>
    </row>
    <row r="55" spans="1:8" s="2" customFormat="1" ht="19.5" customHeight="1">
      <c r="A55" s="75" t="s">
        <v>14</v>
      </c>
      <c r="B55" s="7" t="s">
        <v>35</v>
      </c>
      <c r="C55" s="7" t="s">
        <v>35</v>
      </c>
      <c r="D55" s="8" t="s">
        <v>25</v>
      </c>
      <c r="E55" s="8" t="s">
        <v>25</v>
      </c>
      <c r="F55" s="8" t="s">
        <v>25</v>
      </c>
      <c r="G55" s="74" t="s">
        <v>25</v>
      </c>
      <c r="H55" s="5" t="s">
        <v>11</v>
      </c>
    </row>
    <row r="56" spans="1:8" s="2" customFormat="1" ht="19.5" customHeight="1">
      <c r="A56" s="73" t="s">
        <v>16</v>
      </c>
      <c r="B56" s="5">
        <v>6890</v>
      </c>
      <c r="C56" s="5" t="s">
        <v>66</v>
      </c>
      <c r="D56" s="8" t="s">
        <v>25</v>
      </c>
      <c r="E56" s="8" t="s">
        <v>25</v>
      </c>
      <c r="F56" s="8" t="s">
        <v>25</v>
      </c>
      <c r="G56" s="74" t="s">
        <v>25</v>
      </c>
      <c r="H56" s="5" t="s">
        <v>11</v>
      </c>
    </row>
    <row r="57" spans="1:8" s="2" customFormat="1" ht="19.5" customHeight="1" thickBot="1">
      <c r="A57" s="77" t="s">
        <v>34</v>
      </c>
      <c r="B57" s="78" t="s">
        <v>35</v>
      </c>
      <c r="C57" s="78" t="s">
        <v>35</v>
      </c>
      <c r="D57" s="79" t="s">
        <v>25</v>
      </c>
      <c r="E57" s="79" t="s">
        <v>25</v>
      </c>
      <c r="F57" s="79" t="s">
        <v>25</v>
      </c>
      <c r="G57" s="80" t="s">
        <v>25</v>
      </c>
      <c r="H57" s="5" t="s">
        <v>11</v>
      </c>
    </row>
    <row r="58" ht="13.5" thickTop="1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sheetProtection/>
  <printOptions gridLines="1" horizontalCentered="1" verticalCentered="1"/>
  <pageMargins left="0.25" right="0.25" top="0.25" bottom="0.5" header="0" footer="0"/>
  <pageSetup fitToHeight="1" fitToWidth="1" horizontalDpi="600" verticalDpi="600" orientation="portrait" scale="71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dolanj1</cp:lastModifiedBy>
  <cp:lastPrinted>2008-02-01T20:56:28Z</cp:lastPrinted>
  <dcterms:created xsi:type="dcterms:W3CDTF">2007-01-26T13:56:48Z</dcterms:created>
  <dcterms:modified xsi:type="dcterms:W3CDTF">2020-07-27T13:25:16Z</dcterms:modified>
  <cp:category/>
  <cp:version/>
  <cp:contentType/>
  <cp:contentStatus/>
</cp:coreProperties>
</file>